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60" yWindow="-180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531" i="1"/>
  <c r="D529"/>
  <c r="D528"/>
  <c r="D527"/>
  <c r="D526"/>
  <c r="F509"/>
  <c r="F508"/>
  <c r="F507"/>
  <c r="F506"/>
  <c r="F512"/>
  <c r="F514"/>
  <c r="F516"/>
  <c r="F519"/>
  <c r="F518"/>
  <c r="E519"/>
  <c r="E516"/>
  <c r="N519"/>
  <c r="O519" s="1"/>
  <c r="N508"/>
  <c r="O508" s="1"/>
  <c r="N506"/>
  <c r="O506" s="1"/>
  <c r="N507"/>
  <c r="O507" s="1"/>
  <c r="N514"/>
  <c r="O514" s="1"/>
  <c r="N509"/>
  <c r="O509" s="1"/>
  <c r="N512"/>
  <c r="O512" s="1"/>
  <c r="O513"/>
  <c r="N520"/>
  <c r="L519"/>
  <c r="L515"/>
  <c r="L514"/>
  <c r="L509"/>
  <c r="L508"/>
  <c r="L506"/>
  <c r="L507"/>
  <c r="K520"/>
  <c r="K508"/>
  <c r="K519"/>
  <c r="K506"/>
  <c r="K507"/>
  <c r="K514"/>
  <c r="K509"/>
  <c r="E509"/>
  <c r="I519"/>
  <c r="I517"/>
  <c r="I514"/>
  <c r="I511"/>
  <c r="I510"/>
  <c r="I509"/>
  <c r="I508"/>
  <c r="I507"/>
  <c r="I506"/>
  <c r="D520"/>
  <c r="D519"/>
  <c r="D518"/>
  <c r="D517"/>
  <c r="D516"/>
  <c r="D515"/>
  <c r="D514"/>
  <c r="D513"/>
  <c r="D512"/>
  <c r="D511"/>
  <c r="D510"/>
  <c r="D509"/>
  <c r="D508"/>
  <c r="D507"/>
  <c r="D506"/>
  <c r="P520"/>
  <c r="M520"/>
  <c r="J520"/>
  <c r="G520"/>
  <c r="A519"/>
  <c r="E518"/>
  <c r="A518"/>
  <c r="A517"/>
  <c r="A516"/>
  <c r="A515"/>
  <c r="A514"/>
  <c r="A513"/>
  <c r="A512"/>
  <c r="A511"/>
  <c r="A510"/>
  <c r="A509"/>
  <c r="A508"/>
  <c r="A507"/>
  <c r="A506"/>
  <c r="C494"/>
  <c r="D500"/>
  <c r="N500"/>
  <c r="O497" s="1"/>
  <c r="N486"/>
  <c r="N487"/>
  <c r="N488"/>
  <c r="N489"/>
  <c r="E489" s="1"/>
  <c r="N490"/>
  <c r="E490" s="1"/>
  <c r="N495"/>
  <c r="N497"/>
  <c r="K497"/>
  <c r="E497" s="1"/>
  <c r="K492"/>
  <c r="E492" s="1"/>
  <c r="K488"/>
  <c r="K487"/>
  <c r="K486"/>
  <c r="K500"/>
  <c r="L499" s="1"/>
  <c r="I491"/>
  <c r="C487"/>
  <c r="D487" s="1"/>
  <c r="E491"/>
  <c r="I497"/>
  <c r="I496"/>
  <c r="I493"/>
  <c r="I492"/>
  <c r="I490"/>
  <c r="I489"/>
  <c r="I488"/>
  <c r="I486"/>
  <c r="I487"/>
  <c r="D499"/>
  <c r="D497"/>
  <c r="D496"/>
  <c r="D495"/>
  <c r="D494"/>
  <c r="D493"/>
  <c r="D492"/>
  <c r="D491"/>
  <c r="D490"/>
  <c r="D489"/>
  <c r="D488"/>
  <c r="D486"/>
  <c r="D498"/>
  <c r="A465"/>
  <c r="K465"/>
  <c r="K466"/>
  <c r="K467"/>
  <c r="K469"/>
  <c r="K473"/>
  <c r="K479"/>
  <c r="O474"/>
  <c r="O473"/>
  <c r="O472"/>
  <c r="O469"/>
  <c r="O468"/>
  <c r="O467"/>
  <c r="O465"/>
  <c r="C472"/>
  <c r="D472" s="1"/>
  <c r="N473"/>
  <c r="N474"/>
  <c r="E474" s="1"/>
  <c r="N469"/>
  <c r="N468"/>
  <c r="N467"/>
  <c r="N466"/>
  <c r="N465"/>
  <c r="N479"/>
  <c r="C466"/>
  <c r="D466" s="1"/>
  <c r="I477"/>
  <c r="D478"/>
  <c r="D476"/>
  <c r="D475"/>
  <c r="D474"/>
  <c r="D473"/>
  <c r="D471"/>
  <c r="D470"/>
  <c r="D469"/>
  <c r="D468"/>
  <c r="D467"/>
  <c r="D465"/>
  <c r="D477"/>
  <c r="E470"/>
  <c r="I473"/>
  <c r="I471"/>
  <c r="I470"/>
  <c r="I469"/>
  <c r="I468"/>
  <c r="I467"/>
  <c r="I466"/>
  <c r="I465"/>
  <c r="P500"/>
  <c r="M500"/>
  <c r="J500"/>
  <c r="G500"/>
  <c r="A499"/>
  <c r="E498"/>
  <c r="A498"/>
  <c r="A497"/>
  <c r="A496"/>
  <c r="A495"/>
  <c r="A494"/>
  <c r="A493"/>
  <c r="A492"/>
  <c r="A491"/>
  <c r="A490"/>
  <c r="A489"/>
  <c r="A488"/>
  <c r="A487"/>
  <c r="A486"/>
  <c r="P479"/>
  <c r="M479"/>
  <c r="J479"/>
  <c r="G479"/>
  <c r="A478"/>
  <c r="A477"/>
  <c r="A476"/>
  <c r="A475"/>
  <c r="A474"/>
  <c r="A473"/>
  <c r="A472"/>
  <c r="A471"/>
  <c r="A470"/>
  <c r="A469"/>
  <c r="A468"/>
  <c r="A467"/>
  <c r="A466"/>
  <c r="A459"/>
  <c r="N459"/>
  <c r="O455" s="1"/>
  <c r="N458"/>
  <c r="N457"/>
  <c r="N456"/>
  <c r="N451"/>
  <c r="N450"/>
  <c r="N449"/>
  <c r="N448"/>
  <c r="N447"/>
  <c r="E447" s="1"/>
  <c r="A453"/>
  <c r="K458"/>
  <c r="K457"/>
  <c r="E457" s="1"/>
  <c r="K456"/>
  <c r="L456" s="1"/>
  <c r="K451"/>
  <c r="L451" s="1"/>
  <c r="K450"/>
  <c r="L450" s="1"/>
  <c r="K449"/>
  <c r="L449" s="1"/>
  <c r="K448"/>
  <c r="E448" s="1"/>
  <c r="K447"/>
  <c r="L458"/>
  <c r="L457"/>
  <c r="L455"/>
  <c r="L454"/>
  <c r="L453"/>
  <c r="L452"/>
  <c r="K459"/>
  <c r="A456"/>
  <c r="P459"/>
  <c r="M459"/>
  <c r="J459"/>
  <c r="G459"/>
  <c r="I458"/>
  <c r="I457"/>
  <c r="I456"/>
  <c r="I455"/>
  <c r="I454"/>
  <c r="I453"/>
  <c r="I452"/>
  <c r="I451"/>
  <c r="I450"/>
  <c r="I449"/>
  <c r="I448"/>
  <c r="I447"/>
  <c r="E455"/>
  <c r="E454"/>
  <c r="E453"/>
  <c r="D458"/>
  <c r="D457"/>
  <c r="D456"/>
  <c r="D455"/>
  <c r="D454"/>
  <c r="D453"/>
  <c r="D452"/>
  <c r="D451"/>
  <c r="D450"/>
  <c r="D449"/>
  <c r="D448"/>
  <c r="D447"/>
  <c r="A458"/>
  <c r="A457"/>
  <c r="A455"/>
  <c r="E452"/>
  <c r="A451"/>
  <c r="A450"/>
  <c r="E449"/>
  <c r="A449"/>
  <c r="A448"/>
  <c r="A447"/>
  <c r="A297"/>
  <c r="A296"/>
  <c r="A295"/>
  <c r="A294"/>
  <c r="A293"/>
  <c r="A292"/>
  <c r="A291"/>
  <c r="A290"/>
  <c r="A289"/>
  <c r="A288"/>
  <c r="A287"/>
  <c r="A286"/>
  <c r="A285"/>
  <c r="C290"/>
  <c r="N300"/>
  <c r="N299"/>
  <c r="K294"/>
  <c r="L294" s="1"/>
  <c r="K297"/>
  <c r="K291"/>
  <c r="K287"/>
  <c r="K286"/>
  <c r="K285"/>
  <c r="K284"/>
  <c r="K298"/>
  <c r="O276"/>
  <c r="O271"/>
  <c r="O270"/>
  <c r="O269"/>
  <c r="O268"/>
  <c r="O265"/>
  <c r="O264"/>
  <c r="O263"/>
  <c r="O262"/>
  <c r="O261"/>
  <c r="L276"/>
  <c r="L275"/>
  <c r="L273"/>
  <c r="L271"/>
  <c r="L269"/>
  <c r="L264"/>
  <c r="L263"/>
  <c r="L262"/>
  <c r="L261"/>
  <c r="I276"/>
  <c r="I275"/>
  <c r="I274"/>
  <c r="I271"/>
  <c r="I269"/>
  <c r="I267"/>
  <c r="I266"/>
  <c r="I264"/>
  <c r="I263"/>
  <c r="I262"/>
  <c r="I261"/>
  <c r="F276"/>
  <c r="F275"/>
  <c r="F272"/>
  <c r="F271"/>
  <c r="F270"/>
  <c r="F269"/>
  <c r="F268"/>
  <c r="F266"/>
  <c r="F265"/>
  <c r="F264"/>
  <c r="F263"/>
  <c r="F262"/>
  <c r="F261"/>
  <c r="D276"/>
  <c r="D275"/>
  <c r="D274"/>
  <c r="D273"/>
  <c r="D272"/>
  <c r="D271"/>
  <c r="D270"/>
  <c r="D269"/>
  <c r="D268"/>
  <c r="D267"/>
  <c r="D266"/>
  <c r="D265"/>
  <c r="D264"/>
  <c r="D263"/>
  <c r="D262"/>
  <c r="D261"/>
  <c r="N294"/>
  <c r="O294" s="1"/>
  <c r="N296"/>
  <c r="E296" s="1"/>
  <c r="N295"/>
  <c r="O295" s="1"/>
  <c r="N292"/>
  <c r="N291"/>
  <c r="O291" s="1"/>
  <c r="N290"/>
  <c r="N287"/>
  <c r="N286"/>
  <c r="N285"/>
  <c r="O285" s="1"/>
  <c r="N284"/>
  <c r="N298"/>
  <c r="P277"/>
  <c r="M277"/>
  <c r="J277"/>
  <c r="G277"/>
  <c r="E277"/>
  <c r="E276"/>
  <c r="A276"/>
  <c r="E275"/>
  <c r="A275"/>
  <c r="A274"/>
  <c r="A273"/>
  <c r="E272"/>
  <c r="A272"/>
  <c r="E271"/>
  <c r="A271"/>
  <c r="E270"/>
  <c r="A270"/>
  <c r="E269"/>
  <c r="A269"/>
  <c r="A268"/>
  <c r="A267"/>
  <c r="E266"/>
  <c r="A266"/>
  <c r="E265"/>
  <c r="A265"/>
  <c r="E264"/>
  <c r="A264"/>
  <c r="E263"/>
  <c r="A263"/>
  <c r="E262"/>
  <c r="A262"/>
  <c r="E261"/>
  <c r="A261"/>
  <c r="L296"/>
  <c r="O287"/>
  <c r="O284"/>
  <c r="O290"/>
  <c r="L297"/>
  <c r="L295"/>
  <c r="L291"/>
  <c r="L287"/>
  <c r="L286"/>
  <c r="L284"/>
  <c r="L285"/>
  <c r="I294"/>
  <c r="I296"/>
  <c r="I291"/>
  <c r="I289"/>
  <c r="I288"/>
  <c r="I287"/>
  <c r="I286"/>
  <c r="I284"/>
  <c r="I285"/>
  <c r="D294"/>
  <c r="D296"/>
  <c r="D297"/>
  <c r="D293"/>
  <c r="D295"/>
  <c r="D292"/>
  <c r="D291"/>
  <c r="D290"/>
  <c r="D289"/>
  <c r="D288"/>
  <c r="D287"/>
  <c r="D286"/>
  <c r="D285"/>
  <c r="D284"/>
  <c r="E294"/>
  <c r="E295"/>
  <c r="E284"/>
  <c r="E285"/>
  <c r="E287"/>
  <c r="E288"/>
  <c r="E291"/>
  <c r="E293"/>
  <c r="P298"/>
  <c r="M298"/>
  <c r="J298"/>
  <c r="G298"/>
  <c r="E298"/>
  <c r="A284"/>
  <c r="A438"/>
  <c r="K440"/>
  <c r="L438" s="1"/>
  <c r="E438"/>
  <c r="N440"/>
  <c r="O439" s="1"/>
  <c r="H440"/>
  <c r="I439" s="1"/>
  <c r="O431"/>
  <c r="L439"/>
  <c r="L425"/>
  <c r="E439"/>
  <c r="E437"/>
  <c r="E436"/>
  <c r="E435"/>
  <c r="E434"/>
  <c r="E433"/>
  <c r="E432"/>
  <c r="E431"/>
  <c r="E430"/>
  <c r="E428"/>
  <c r="E427"/>
  <c r="E426"/>
  <c r="E425"/>
  <c r="E424"/>
  <c r="A437"/>
  <c r="A436"/>
  <c r="A435"/>
  <c r="A434"/>
  <c r="A431"/>
  <c r="A427"/>
  <c r="A425"/>
  <c r="C440"/>
  <c r="D437" s="1"/>
  <c r="A433"/>
  <c r="A430"/>
  <c r="A426"/>
  <c r="G440"/>
  <c r="A439"/>
  <c r="A424"/>
  <c r="E423"/>
  <c r="A423"/>
  <c r="O415"/>
  <c r="O414"/>
  <c r="O413"/>
  <c r="O412"/>
  <c r="O411"/>
  <c r="O410"/>
  <c r="O408"/>
  <c r="O407"/>
  <c r="L415"/>
  <c r="L414"/>
  <c r="L413"/>
  <c r="L412"/>
  <c r="L411"/>
  <c r="L410"/>
  <c r="L408"/>
  <c r="L407"/>
  <c r="I415"/>
  <c r="I414"/>
  <c r="I413"/>
  <c r="I412"/>
  <c r="I411"/>
  <c r="I410"/>
  <c r="I408"/>
  <c r="I407"/>
  <c r="D415"/>
  <c r="D414"/>
  <c r="D413"/>
  <c r="D412"/>
  <c r="D411"/>
  <c r="D410"/>
  <c r="D408"/>
  <c r="D407"/>
  <c r="P416"/>
  <c r="M416"/>
  <c r="J416"/>
  <c r="G416"/>
  <c r="E416"/>
  <c r="E415"/>
  <c r="A415"/>
  <c r="E414"/>
  <c r="A414"/>
  <c r="E413"/>
  <c r="E412"/>
  <c r="A412"/>
  <c r="E411"/>
  <c r="A411"/>
  <c r="E410"/>
  <c r="E408"/>
  <c r="A408"/>
  <c r="E407"/>
  <c r="A407"/>
  <c r="O400"/>
  <c r="O399"/>
  <c r="O398"/>
  <c r="O397"/>
  <c r="O396"/>
  <c r="O395"/>
  <c r="O393"/>
  <c r="O392"/>
  <c r="L400"/>
  <c r="L399"/>
  <c r="L398"/>
  <c r="L397"/>
  <c r="L396"/>
  <c r="L395"/>
  <c r="L393"/>
  <c r="L392"/>
  <c r="I400"/>
  <c r="I399"/>
  <c r="I398"/>
  <c r="I397"/>
  <c r="I396"/>
  <c r="I395"/>
  <c r="I393"/>
  <c r="I392"/>
  <c r="D395"/>
  <c r="E395"/>
  <c r="D400"/>
  <c r="D399"/>
  <c r="D398"/>
  <c r="D397"/>
  <c r="D396"/>
  <c r="D393"/>
  <c r="D392"/>
  <c r="P401"/>
  <c r="M401"/>
  <c r="J401"/>
  <c r="G401"/>
  <c r="E401"/>
  <c r="E400"/>
  <c r="A400"/>
  <c r="E399"/>
  <c r="A399"/>
  <c r="E398"/>
  <c r="A398"/>
  <c r="E397"/>
  <c r="E396"/>
  <c r="F396" s="1"/>
  <c r="A396"/>
  <c r="E393"/>
  <c r="A393"/>
  <c r="E392"/>
  <c r="F392" s="1"/>
  <c r="A392"/>
  <c r="A379"/>
  <c r="O385"/>
  <c r="O384"/>
  <c r="O383"/>
  <c r="O382"/>
  <c r="O381"/>
  <c r="O380"/>
  <c r="O379"/>
  <c r="O378"/>
  <c r="O377"/>
  <c r="O376"/>
  <c r="O375"/>
  <c r="L385"/>
  <c r="L384"/>
  <c r="L383"/>
  <c r="L382"/>
  <c r="L381"/>
  <c r="L380"/>
  <c r="L379"/>
  <c r="L378"/>
  <c r="L377"/>
  <c r="L376"/>
  <c r="L375"/>
  <c r="I385"/>
  <c r="I384"/>
  <c r="I383"/>
  <c r="I382"/>
  <c r="I381"/>
  <c r="I380"/>
  <c r="I379"/>
  <c r="I378"/>
  <c r="I377"/>
  <c r="I376"/>
  <c r="I375"/>
  <c r="D384"/>
  <c r="D383"/>
  <c r="D382"/>
  <c r="D381"/>
  <c r="D380"/>
  <c r="D379"/>
  <c r="D378"/>
  <c r="D377"/>
  <c r="D376"/>
  <c r="D375"/>
  <c r="D385"/>
  <c r="P386"/>
  <c r="M386"/>
  <c r="J386"/>
  <c r="G386"/>
  <c r="E386"/>
  <c r="E385"/>
  <c r="A385"/>
  <c r="E384"/>
  <c r="A384"/>
  <c r="E383"/>
  <c r="A383"/>
  <c r="E382"/>
  <c r="A382"/>
  <c r="E381"/>
  <c r="A381"/>
  <c r="E380"/>
  <c r="A380"/>
  <c r="E379"/>
  <c r="E378"/>
  <c r="A378"/>
  <c r="E377"/>
  <c r="F377" s="1"/>
  <c r="A377"/>
  <c r="E376"/>
  <c r="F376" s="1"/>
  <c r="A376"/>
  <c r="E375"/>
  <c r="F375" s="1"/>
  <c r="A375"/>
  <c r="E506" l="1"/>
  <c r="E512"/>
  <c r="E520"/>
  <c r="E508"/>
  <c r="A520"/>
  <c r="E507"/>
  <c r="O487"/>
  <c r="O494"/>
  <c r="O486"/>
  <c r="O495"/>
  <c r="O492"/>
  <c r="O488"/>
  <c r="E486"/>
  <c r="E488"/>
  <c r="O489"/>
  <c r="O490"/>
  <c r="E495"/>
  <c r="E500"/>
  <c r="F490" s="1"/>
  <c r="L489"/>
  <c r="L497"/>
  <c r="L488"/>
  <c r="L492"/>
  <c r="L487"/>
  <c r="L490"/>
  <c r="L486"/>
  <c r="A500"/>
  <c r="E487"/>
  <c r="L473"/>
  <c r="E473"/>
  <c r="E469"/>
  <c r="L466"/>
  <c r="L470"/>
  <c r="L465"/>
  <c r="L469"/>
  <c r="L478"/>
  <c r="L467"/>
  <c r="L471"/>
  <c r="L468"/>
  <c r="O466"/>
  <c r="E479"/>
  <c r="E465"/>
  <c r="A479"/>
  <c r="E468"/>
  <c r="E467"/>
  <c r="E472"/>
  <c r="E476"/>
  <c r="E466"/>
  <c r="E475"/>
  <c r="O453"/>
  <c r="O457"/>
  <c r="O450"/>
  <c r="O458"/>
  <c r="O452"/>
  <c r="O456"/>
  <c r="O449"/>
  <c r="O454"/>
  <c r="O451"/>
  <c r="O448"/>
  <c r="E458"/>
  <c r="O447"/>
  <c r="E456"/>
  <c r="E451"/>
  <c r="E450"/>
  <c r="L448"/>
  <c r="L447"/>
  <c r="E459"/>
  <c r="F454" s="1"/>
  <c r="O286"/>
  <c r="O292"/>
  <c r="O296"/>
  <c r="I433"/>
  <c r="L423"/>
  <c r="L434"/>
  <c r="I428"/>
  <c r="F393"/>
  <c r="L430"/>
  <c r="I424"/>
  <c r="L427"/>
  <c r="E292"/>
  <c r="F292" s="1"/>
  <c r="E286"/>
  <c r="F397"/>
  <c r="A440"/>
  <c r="L436"/>
  <c r="O428"/>
  <c r="O437"/>
  <c r="A277"/>
  <c r="O426"/>
  <c r="O435"/>
  <c r="A401"/>
  <c r="A416"/>
  <c r="L432"/>
  <c r="O423"/>
  <c r="O433"/>
  <c r="L424"/>
  <c r="L428"/>
  <c r="L433"/>
  <c r="L437"/>
  <c r="I431"/>
  <c r="F293"/>
  <c r="L426"/>
  <c r="L431"/>
  <c r="L435"/>
  <c r="I426"/>
  <c r="I436"/>
  <c r="F290"/>
  <c r="F286"/>
  <c r="F296"/>
  <c r="F295"/>
  <c r="F284"/>
  <c r="F294"/>
  <c r="F285"/>
  <c r="F287"/>
  <c r="F288"/>
  <c r="F291"/>
  <c r="A298"/>
  <c r="F378"/>
  <c r="D425"/>
  <c r="D427"/>
  <c r="D430"/>
  <c r="D432"/>
  <c r="D434"/>
  <c r="D436"/>
  <c r="D439"/>
  <c r="D438"/>
  <c r="I438"/>
  <c r="A386"/>
  <c r="D423"/>
  <c r="D424"/>
  <c r="D426"/>
  <c r="D428"/>
  <c r="D431"/>
  <c r="D433"/>
  <c r="D435"/>
  <c r="I423"/>
  <c r="I425"/>
  <c r="I427"/>
  <c r="I430"/>
  <c r="I432"/>
  <c r="I434"/>
  <c r="O438"/>
  <c r="O424"/>
  <c r="O425"/>
  <c r="O427"/>
  <c r="O430"/>
  <c r="O432"/>
  <c r="O434"/>
  <c r="O436"/>
  <c r="E440"/>
  <c r="F439" s="1"/>
  <c r="I435"/>
  <c r="I437"/>
  <c r="F414"/>
  <c r="F408"/>
  <c r="F411"/>
  <c r="F413"/>
  <c r="F415"/>
  <c r="F407"/>
  <c r="F410"/>
  <c r="F412"/>
  <c r="F400"/>
  <c r="F395"/>
  <c r="F398"/>
  <c r="F399"/>
  <c r="F379"/>
  <c r="F380"/>
  <c r="F381"/>
  <c r="F382"/>
  <c r="F383"/>
  <c r="F384"/>
  <c r="F385"/>
  <c r="F492" l="1"/>
  <c r="F491"/>
  <c r="F497"/>
  <c r="F495"/>
  <c r="F494"/>
  <c r="F487"/>
  <c r="F498"/>
  <c r="F486"/>
  <c r="F489"/>
  <c r="F488"/>
  <c r="F469"/>
  <c r="F467"/>
  <c r="F465"/>
  <c r="F474"/>
  <c r="F473"/>
  <c r="F475"/>
  <c r="F466"/>
  <c r="F476"/>
  <c r="F472"/>
  <c r="F470"/>
  <c r="F468"/>
  <c r="F452"/>
  <c r="F453"/>
  <c r="F450"/>
  <c r="F449"/>
  <c r="F447"/>
  <c r="F457"/>
  <c r="F456"/>
  <c r="F451"/>
  <c r="F455"/>
  <c r="F448"/>
  <c r="F458"/>
  <c r="F431"/>
  <c r="F423"/>
  <c r="F427"/>
  <c r="F426"/>
  <c r="F437"/>
  <c r="F433"/>
  <c r="F435"/>
  <c r="F438"/>
  <c r="F428"/>
  <c r="F424"/>
  <c r="F425"/>
  <c r="F430"/>
  <c r="F432"/>
  <c r="F434"/>
  <c r="F436"/>
  <c r="A366"/>
  <c r="A362"/>
  <c r="O368"/>
  <c r="O367"/>
  <c r="O366"/>
  <c r="O365"/>
  <c r="O364"/>
  <c r="O363"/>
  <c r="O362"/>
  <c r="O361"/>
  <c r="O360"/>
  <c r="O359"/>
  <c r="O358"/>
  <c r="O357"/>
  <c r="O356"/>
  <c r="L368"/>
  <c r="L367"/>
  <c r="L366"/>
  <c r="L365"/>
  <c r="L364"/>
  <c r="L363"/>
  <c r="L362"/>
  <c r="L361"/>
  <c r="L360"/>
  <c r="L359"/>
  <c r="L358"/>
  <c r="L357"/>
  <c r="L356"/>
  <c r="I368"/>
  <c r="I367"/>
  <c r="I366"/>
  <c r="I365"/>
  <c r="I364"/>
  <c r="I363"/>
  <c r="I362"/>
  <c r="I361"/>
  <c r="I360"/>
  <c r="I359"/>
  <c r="I358"/>
  <c r="I357"/>
  <c r="I356"/>
  <c r="D368"/>
  <c r="D367"/>
  <c r="D366"/>
  <c r="D365"/>
  <c r="D364"/>
  <c r="D363"/>
  <c r="D362"/>
  <c r="D361"/>
  <c r="D360"/>
  <c r="D359"/>
  <c r="D358"/>
  <c r="D357"/>
  <c r="D356"/>
  <c r="P369"/>
  <c r="M369"/>
  <c r="J369"/>
  <c r="G369"/>
  <c r="E369"/>
  <c r="E368"/>
  <c r="A368"/>
  <c r="E367"/>
  <c r="A367"/>
  <c r="E366"/>
  <c r="E365"/>
  <c r="A365"/>
  <c r="E364"/>
  <c r="A364"/>
  <c r="E363"/>
  <c r="A363"/>
  <c r="E362"/>
  <c r="E361"/>
  <c r="A361"/>
  <c r="E360"/>
  <c r="E359"/>
  <c r="A359"/>
  <c r="E358"/>
  <c r="A358"/>
  <c r="E357"/>
  <c r="A357"/>
  <c r="E356"/>
  <c r="A356"/>
  <c r="A341"/>
  <c r="A340"/>
  <c r="A339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P350"/>
  <c r="M350"/>
  <c r="J350"/>
  <c r="G350"/>
  <c r="E350"/>
  <c r="E349"/>
  <c r="A349"/>
  <c r="E348"/>
  <c r="A348"/>
  <c r="E347"/>
  <c r="A347"/>
  <c r="E346"/>
  <c r="A346"/>
  <c r="E345"/>
  <c r="A345"/>
  <c r="E344"/>
  <c r="A344"/>
  <c r="E343"/>
  <c r="A343"/>
  <c r="E342"/>
  <c r="E341"/>
  <c r="E340"/>
  <c r="E339"/>
  <c r="E338"/>
  <c r="E337"/>
  <c r="A337"/>
  <c r="E336"/>
  <c r="A336"/>
  <c r="E335"/>
  <c r="A335"/>
  <c r="E334"/>
  <c r="A334"/>
  <c r="E333"/>
  <c r="A333"/>
  <c r="E332"/>
  <c r="A332"/>
  <c r="E325"/>
  <c r="E324"/>
  <c r="E323"/>
  <c r="E322"/>
  <c r="E311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P326"/>
  <c r="M326"/>
  <c r="J326"/>
  <c r="G326"/>
  <c r="E326"/>
  <c r="A325"/>
  <c r="A324"/>
  <c r="A323"/>
  <c r="A322"/>
  <c r="E321"/>
  <c r="A321"/>
  <c r="E320"/>
  <c r="A320"/>
  <c r="E319"/>
  <c r="A319"/>
  <c r="E318"/>
  <c r="A318"/>
  <c r="E317"/>
  <c r="A317"/>
  <c r="E316"/>
  <c r="A316"/>
  <c r="E315"/>
  <c r="E314"/>
  <c r="F314" s="1"/>
  <c r="A314"/>
  <c r="E312"/>
  <c r="F312" s="1"/>
  <c r="A312"/>
  <c r="A311"/>
  <c r="E310"/>
  <c r="A310"/>
  <c r="E309"/>
  <c r="A309"/>
  <c r="E308"/>
  <c r="A308"/>
  <c r="E307"/>
  <c r="A307"/>
  <c r="A85"/>
  <c r="C85"/>
  <c r="D85" s="1"/>
  <c r="E250"/>
  <c r="P254"/>
  <c r="M254"/>
  <c r="J254"/>
  <c r="G254"/>
  <c r="L249"/>
  <c r="D249"/>
  <c r="A249"/>
  <c r="O252"/>
  <c r="O250"/>
  <c r="O244"/>
  <c r="O246"/>
  <c r="O245"/>
  <c r="O242"/>
  <c r="O241"/>
  <c r="O240"/>
  <c r="O239"/>
  <c r="L252"/>
  <c r="L250"/>
  <c r="L245"/>
  <c r="L242"/>
  <c r="L241"/>
  <c r="L240"/>
  <c r="L239"/>
  <c r="I253"/>
  <c r="I252"/>
  <c r="I250"/>
  <c r="I247"/>
  <c r="I243"/>
  <c r="I242"/>
  <c r="I241"/>
  <c r="I240"/>
  <c r="I239"/>
  <c r="E252"/>
  <c r="E242"/>
  <c r="C248"/>
  <c r="E248" s="1"/>
  <c r="C245"/>
  <c r="D245" s="1"/>
  <c r="D253"/>
  <c r="D252"/>
  <c r="D251"/>
  <c r="D250"/>
  <c r="D248"/>
  <c r="D247"/>
  <c r="D244"/>
  <c r="D246"/>
  <c r="D243"/>
  <c r="D242"/>
  <c r="D241"/>
  <c r="D240"/>
  <c r="D239"/>
  <c r="E254"/>
  <c r="F244" s="1"/>
  <c r="A253"/>
  <c r="A252"/>
  <c r="E251"/>
  <c r="A251"/>
  <c r="A250"/>
  <c r="A248"/>
  <c r="E247"/>
  <c r="A247"/>
  <c r="A244"/>
  <c r="E246"/>
  <c r="A246"/>
  <c r="A245"/>
  <c r="A243"/>
  <c r="A242"/>
  <c r="E241"/>
  <c r="A241"/>
  <c r="E240"/>
  <c r="A240"/>
  <c r="E239"/>
  <c r="A239"/>
  <c r="E229"/>
  <c r="O229"/>
  <c r="L229"/>
  <c r="I229"/>
  <c r="D229"/>
  <c r="A229"/>
  <c r="O230"/>
  <c r="O228"/>
  <c r="O227"/>
  <c r="O222"/>
  <c r="O221"/>
  <c r="O219"/>
  <c r="O218"/>
  <c r="O217"/>
  <c r="L225"/>
  <c r="L222"/>
  <c r="L219"/>
  <c r="L218"/>
  <c r="L217"/>
  <c r="I228"/>
  <c r="I223"/>
  <c r="I222"/>
  <c r="I220"/>
  <c r="I219"/>
  <c r="I218"/>
  <c r="I217"/>
  <c r="C224"/>
  <c r="D224" s="1"/>
  <c r="E228"/>
  <c r="E226"/>
  <c r="E225"/>
  <c r="E223"/>
  <c r="E222"/>
  <c r="D228"/>
  <c r="D227"/>
  <c r="D226"/>
  <c r="D225"/>
  <c r="D223"/>
  <c r="D222"/>
  <c r="D221"/>
  <c r="D220"/>
  <c r="D219"/>
  <c r="D218"/>
  <c r="D217"/>
  <c r="D230"/>
  <c r="P231"/>
  <c r="M231"/>
  <c r="J231"/>
  <c r="G231"/>
  <c r="E231"/>
  <c r="F229" s="1"/>
  <c r="A230"/>
  <c r="A228"/>
  <c r="A227"/>
  <c r="A226"/>
  <c r="A225"/>
  <c r="A224"/>
  <c r="A223"/>
  <c r="A222"/>
  <c r="A221"/>
  <c r="A220"/>
  <c r="E219"/>
  <c r="A219"/>
  <c r="E218"/>
  <c r="A218"/>
  <c r="E217"/>
  <c r="A217"/>
  <c r="E205"/>
  <c r="O207"/>
  <c r="O206"/>
  <c r="O205"/>
  <c r="O204"/>
  <c r="O203"/>
  <c r="O202"/>
  <c r="O201"/>
  <c r="O200"/>
  <c r="O199"/>
  <c r="O198"/>
  <c r="O197"/>
  <c r="O196"/>
  <c r="O195"/>
  <c r="L202"/>
  <c r="L197"/>
  <c r="L196"/>
  <c r="L195"/>
  <c r="I205"/>
  <c r="I199"/>
  <c r="I198"/>
  <c r="I197"/>
  <c r="I196"/>
  <c r="I195"/>
  <c r="C200"/>
  <c r="E200" s="1"/>
  <c r="C197"/>
  <c r="E197" s="1"/>
  <c r="D207"/>
  <c r="D206"/>
  <c r="D205"/>
  <c r="D204"/>
  <c r="D203"/>
  <c r="D202"/>
  <c r="D201"/>
  <c r="D199"/>
  <c r="D198"/>
  <c r="D196"/>
  <c r="D195"/>
  <c r="E203"/>
  <c r="E199"/>
  <c r="P208"/>
  <c r="M208"/>
  <c r="J208"/>
  <c r="G208"/>
  <c r="E208"/>
  <c r="A207"/>
  <c r="E206"/>
  <c r="A206"/>
  <c r="A205"/>
  <c r="A204"/>
  <c r="A203"/>
  <c r="A202"/>
  <c r="A201"/>
  <c r="A200"/>
  <c r="A199"/>
  <c r="A198"/>
  <c r="A197"/>
  <c r="E196"/>
  <c r="A196"/>
  <c r="E195"/>
  <c r="A195"/>
  <c r="E184"/>
  <c r="O184"/>
  <c r="O179"/>
  <c r="O176"/>
  <c r="O175"/>
  <c r="L180"/>
  <c r="L176"/>
  <c r="L175"/>
  <c r="O174"/>
  <c r="L174"/>
  <c r="I185"/>
  <c r="I183"/>
  <c r="I181"/>
  <c r="I177"/>
  <c r="I176"/>
  <c r="I175"/>
  <c r="I174"/>
  <c r="C178"/>
  <c r="D178" s="1"/>
  <c r="D186"/>
  <c r="D185"/>
  <c r="D184"/>
  <c r="D183"/>
  <c r="D181"/>
  <c r="D180"/>
  <c r="D179"/>
  <c r="D177"/>
  <c r="D176"/>
  <c r="D175"/>
  <c r="D174"/>
  <c r="D182"/>
  <c r="P187"/>
  <c r="M187"/>
  <c r="J187"/>
  <c r="G187"/>
  <c r="E187"/>
  <c r="E182"/>
  <c r="A182"/>
  <c r="E186"/>
  <c r="A186"/>
  <c r="E185"/>
  <c r="A185"/>
  <c r="A184"/>
  <c r="A183"/>
  <c r="E181"/>
  <c r="A181"/>
  <c r="A180"/>
  <c r="A179"/>
  <c r="A178"/>
  <c r="A177"/>
  <c r="E176"/>
  <c r="F176" s="1"/>
  <c r="A176"/>
  <c r="E175"/>
  <c r="F175" s="1"/>
  <c r="A175"/>
  <c r="E174"/>
  <c r="F174" s="1"/>
  <c r="A174"/>
  <c r="D165"/>
  <c r="D164"/>
  <c r="D163"/>
  <c r="D162"/>
  <c r="D161"/>
  <c r="D160"/>
  <c r="D159"/>
  <c r="D158"/>
  <c r="D156"/>
  <c r="D155"/>
  <c r="D154"/>
  <c r="D153"/>
  <c r="D152"/>
  <c r="E159"/>
  <c r="E164"/>
  <c r="A164"/>
  <c r="E163"/>
  <c r="O165"/>
  <c r="O163"/>
  <c r="O162"/>
  <c r="O159"/>
  <c r="O156"/>
  <c r="O154"/>
  <c r="O153"/>
  <c r="O152"/>
  <c r="L165"/>
  <c r="L163"/>
  <c r="L158"/>
  <c r="L154"/>
  <c r="L153"/>
  <c r="L152"/>
  <c r="I165"/>
  <c r="I163"/>
  <c r="I160"/>
  <c r="I155"/>
  <c r="I154"/>
  <c r="I153"/>
  <c r="I152"/>
  <c r="C157"/>
  <c r="D157" s="1"/>
  <c r="P166"/>
  <c r="M166"/>
  <c r="J166"/>
  <c r="G166"/>
  <c r="E166"/>
  <c r="E165"/>
  <c r="A165"/>
  <c r="A163"/>
  <c r="E162"/>
  <c r="A162"/>
  <c r="E161"/>
  <c r="A161"/>
  <c r="E160"/>
  <c r="A160"/>
  <c r="A159"/>
  <c r="A158"/>
  <c r="A157"/>
  <c r="E156"/>
  <c r="A156"/>
  <c r="A155"/>
  <c r="E154"/>
  <c r="A154"/>
  <c r="E153"/>
  <c r="A153"/>
  <c r="E152"/>
  <c r="A152"/>
  <c r="E142"/>
  <c r="A142"/>
  <c r="A141"/>
  <c r="O142"/>
  <c r="L142"/>
  <c r="I142"/>
  <c r="D142"/>
  <c r="E141"/>
  <c r="D141"/>
  <c r="O143"/>
  <c r="O139"/>
  <c r="O138"/>
  <c r="O136"/>
  <c r="O135"/>
  <c r="O134"/>
  <c r="O131"/>
  <c r="O130"/>
  <c r="O129"/>
  <c r="L140"/>
  <c r="L138"/>
  <c r="L134"/>
  <c r="L131"/>
  <c r="L130"/>
  <c r="L129"/>
  <c r="I138"/>
  <c r="I137"/>
  <c r="I134"/>
  <c r="I132"/>
  <c r="I131"/>
  <c r="I130"/>
  <c r="I129"/>
  <c r="C133"/>
  <c r="D133" s="1"/>
  <c r="D143"/>
  <c r="D140"/>
  <c r="D139"/>
  <c r="D138"/>
  <c r="D137"/>
  <c r="D136"/>
  <c r="D135"/>
  <c r="D134"/>
  <c r="D132"/>
  <c r="D131"/>
  <c r="D130"/>
  <c r="D129"/>
  <c r="P144"/>
  <c r="M144"/>
  <c r="J144"/>
  <c r="G144"/>
  <c r="E144"/>
  <c r="A143"/>
  <c r="A140"/>
  <c r="E139"/>
  <c r="A139"/>
  <c r="E138"/>
  <c r="A138"/>
  <c r="E137"/>
  <c r="A137"/>
  <c r="E136"/>
  <c r="A136"/>
  <c r="E135"/>
  <c r="A135"/>
  <c r="E134"/>
  <c r="A134"/>
  <c r="A133"/>
  <c r="A132"/>
  <c r="E131"/>
  <c r="A131"/>
  <c r="E130"/>
  <c r="A130"/>
  <c r="E129"/>
  <c r="A129"/>
  <c r="C108"/>
  <c r="D108" s="1"/>
  <c r="A119"/>
  <c r="D120"/>
  <c r="D119"/>
  <c r="D118"/>
  <c r="D117"/>
  <c r="D116"/>
  <c r="D115"/>
  <c r="D114"/>
  <c r="D113"/>
  <c r="D112"/>
  <c r="D111"/>
  <c r="D110"/>
  <c r="D109"/>
  <c r="D107"/>
  <c r="D106"/>
  <c r="D105"/>
  <c r="D104"/>
  <c r="D103"/>
  <c r="D102"/>
  <c r="L119"/>
  <c r="L118"/>
  <c r="A118"/>
  <c r="O116"/>
  <c r="O115"/>
  <c r="O113"/>
  <c r="O112"/>
  <c r="O110"/>
  <c r="O109"/>
  <c r="O107"/>
  <c r="O105"/>
  <c r="O104"/>
  <c r="O103"/>
  <c r="O102"/>
  <c r="L120"/>
  <c r="L116"/>
  <c r="L114"/>
  <c r="L112"/>
  <c r="L109"/>
  <c r="L105"/>
  <c r="L104"/>
  <c r="L103"/>
  <c r="L102"/>
  <c r="I117"/>
  <c r="I116"/>
  <c r="I114"/>
  <c r="I112"/>
  <c r="I109"/>
  <c r="I106"/>
  <c r="I105"/>
  <c r="I104"/>
  <c r="I103"/>
  <c r="I102"/>
  <c r="E105"/>
  <c r="E114"/>
  <c r="E113"/>
  <c r="P121"/>
  <c r="M121"/>
  <c r="J121"/>
  <c r="G121"/>
  <c r="E121"/>
  <c r="A120"/>
  <c r="A117"/>
  <c r="E116"/>
  <c r="A116"/>
  <c r="E115"/>
  <c r="A115"/>
  <c r="A114"/>
  <c r="A113"/>
  <c r="A108"/>
  <c r="E112"/>
  <c r="A112"/>
  <c r="E111"/>
  <c r="A111"/>
  <c r="E110"/>
  <c r="A110"/>
  <c r="E109"/>
  <c r="A109"/>
  <c r="E107"/>
  <c r="A107"/>
  <c r="A106"/>
  <c r="A105"/>
  <c r="E104"/>
  <c r="A104"/>
  <c r="E103"/>
  <c r="A103"/>
  <c r="E102"/>
  <c r="A102"/>
  <c r="A93"/>
  <c r="E92"/>
  <c r="L93"/>
  <c r="D93"/>
  <c r="E95"/>
  <c r="E91"/>
  <c r="E88"/>
  <c r="E87"/>
  <c r="E86"/>
  <c r="E84"/>
  <c r="E83"/>
  <c r="E82"/>
  <c r="E81"/>
  <c r="E79"/>
  <c r="E78"/>
  <c r="E77"/>
  <c r="O91"/>
  <c r="O87"/>
  <c r="O84"/>
  <c r="O83"/>
  <c r="O82"/>
  <c r="O81"/>
  <c r="O79"/>
  <c r="O78"/>
  <c r="O77"/>
  <c r="L94"/>
  <c r="L92"/>
  <c r="L91"/>
  <c r="L90"/>
  <c r="L89"/>
  <c r="L88"/>
  <c r="L87"/>
  <c r="L86"/>
  <c r="L84"/>
  <c r="L83"/>
  <c r="L82"/>
  <c r="L81"/>
  <c r="L80"/>
  <c r="L79"/>
  <c r="L78"/>
  <c r="L77"/>
  <c r="I92"/>
  <c r="I91"/>
  <c r="I90"/>
  <c r="I89"/>
  <c r="I88"/>
  <c r="I87"/>
  <c r="I86"/>
  <c r="I84"/>
  <c r="I83"/>
  <c r="I82"/>
  <c r="I81"/>
  <c r="I80"/>
  <c r="I79"/>
  <c r="I78"/>
  <c r="I77"/>
  <c r="D94"/>
  <c r="D92"/>
  <c r="D91"/>
  <c r="D90"/>
  <c r="D89"/>
  <c r="D88"/>
  <c r="D87"/>
  <c r="D86"/>
  <c r="D84"/>
  <c r="D83"/>
  <c r="D82"/>
  <c r="D81"/>
  <c r="D80"/>
  <c r="D79"/>
  <c r="D78"/>
  <c r="D77"/>
  <c r="P95"/>
  <c r="M95"/>
  <c r="J95"/>
  <c r="G95"/>
  <c r="A94"/>
  <c r="A92"/>
  <c r="A91"/>
  <c r="A90"/>
  <c r="A89"/>
  <c r="A88"/>
  <c r="A87"/>
  <c r="A86"/>
  <c r="A84"/>
  <c r="A83"/>
  <c r="A82"/>
  <c r="A81"/>
  <c r="A80"/>
  <c r="A79"/>
  <c r="A78"/>
  <c r="A77"/>
  <c r="C33"/>
  <c r="O66"/>
  <c r="O65"/>
  <c r="O64"/>
  <c r="O62"/>
  <c r="O61"/>
  <c r="O60"/>
  <c r="O58"/>
  <c r="O57"/>
  <c r="O54"/>
  <c r="L69"/>
  <c r="L65"/>
  <c r="L64"/>
  <c r="L60"/>
  <c r="L58"/>
  <c r="L56"/>
  <c r="L55"/>
  <c r="L54"/>
  <c r="I68"/>
  <c r="I67"/>
  <c r="I65"/>
  <c r="I64"/>
  <c r="I63"/>
  <c r="I60"/>
  <c r="I59"/>
  <c r="I58"/>
  <c r="I56"/>
  <c r="I55"/>
  <c r="I54"/>
  <c r="D69"/>
  <c r="D68"/>
  <c r="D67"/>
  <c r="D66"/>
  <c r="D65"/>
  <c r="D64"/>
  <c r="D63"/>
  <c r="D62"/>
  <c r="D61"/>
  <c r="D60"/>
  <c r="D59"/>
  <c r="D58"/>
  <c r="D57"/>
  <c r="D56"/>
  <c r="D55"/>
  <c r="D54"/>
  <c r="D46"/>
  <c r="D45"/>
  <c r="D44"/>
  <c r="D43"/>
  <c r="D42"/>
  <c r="D41"/>
  <c r="D40"/>
  <c r="D39"/>
  <c r="D38"/>
  <c r="D37"/>
  <c r="D36"/>
  <c r="D35"/>
  <c r="D34"/>
  <c r="D33"/>
  <c r="D32"/>
  <c r="D31"/>
  <c r="D30"/>
  <c r="P70"/>
  <c r="M70"/>
  <c r="J70"/>
  <c r="G70"/>
  <c r="E70"/>
  <c r="A69"/>
  <c r="A68"/>
  <c r="E67"/>
  <c r="A67"/>
  <c r="E66"/>
  <c r="A66"/>
  <c r="E65"/>
  <c r="A65"/>
  <c r="E64"/>
  <c r="A64"/>
  <c r="A63"/>
  <c r="E62"/>
  <c r="F62" s="1"/>
  <c r="A62"/>
  <c r="E61"/>
  <c r="A61"/>
  <c r="E60"/>
  <c r="F60" s="1"/>
  <c r="A60"/>
  <c r="A59"/>
  <c r="E58"/>
  <c r="A58"/>
  <c r="A57"/>
  <c r="E56"/>
  <c r="A56"/>
  <c r="E55"/>
  <c r="F55" s="1"/>
  <c r="A55"/>
  <c r="E54"/>
  <c r="A54"/>
  <c r="O44"/>
  <c r="O43"/>
  <c r="O41"/>
  <c r="O40"/>
  <c r="O39"/>
  <c r="O38"/>
  <c r="O37"/>
  <c r="O35"/>
  <c r="O33"/>
  <c r="O32"/>
  <c r="O30"/>
  <c r="O31"/>
  <c r="L46"/>
  <c r="L44"/>
  <c r="L41"/>
  <c r="L40"/>
  <c r="L38"/>
  <c r="L35"/>
  <c r="L33"/>
  <c r="L32"/>
  <c r="L31"/>
  <c r="L30"/>
  <c r="L45"/>
  <c r="I38"/>
  <c r="E38"/>
  <c r="A38"/>
  <c r="I44"/>
  <c r="I43"/>
  <c r="I42"/>
  <c r="I41"/>
  <c r="I40"/>
  <c r="I35"/>
  <c r="I34"/>
  <c r="I33"/>
  <c r="I32"/>
  <c r="I30"/>
  <c r="I31"/>
  <c r="P47"/>
  <c r="M47"/>
  <c r="J47"/>
  <c r="G47"/>
  <c r="E47"/>
  <c r="A46"/>
  <c r="A45"/>
  <c r="E44"/>
  <c r="A44"/>
  <c r="E43"/>
  <c r="A43"/>
  <c r="A42"/>
  <c r="E41"/>
  <c r="F41" s="1"/>
  <c r="A41"/>
  <c r="E40"/>
  <c r="A40"/>
  <c r="E39"/>
  <c r="F39" s="1"/>
  <c r="A39"/>
  <c r="E37"/>
  <c r="A37"/>
  <c r="E36"/>
  <c r="F36" s="1"/>
  <c r="A36"/>
  <c r="E35"/>
  <c r="A35"/>
  <c r="A34"/>
  <c r="E33"/>
  <c r="A33"/>
  <c r="E32"/>
  <c r="A32"/>
  <c r="E31"/>
  <c r="A31"/>
  <c r="E30"/>
  <c r="A30"/>
  <c r="P23"/>
  <c r="M23"/>
  <c r="J23"/>
  <c r="G23"/>
  <c r="O21"/>
  <c r="D21"/>
  <c r="A21"/>
  <c r="O20"/>
  <c r="E20"/>
  <c r="D20"/>
  <c r="A20"/>
  <c r="E23"/>
  <c r="L19"/>
  <c r="I19"/>
  <c r="E19"/>
  <c r="D19"/>
  <c r="A19"/>
  <c r="D22"/>
  <c r="D18"/>
  <c r="D17"/>
  <c r="D16"/>
  <c r="D15"/>
  <c r="D14"/>
  <c r="D13"/>
  <c r="D12"/>
  <c r="D11"/>
  <c r="D10"/>
  <c r="D9"/>
  <c r="D8"/>
  <c r="D7"/>
  <c r="A22"/>
  <c r="A18"/>
  <c r="A17"/>
  <c r="A16"/>
  <c r="A15"/>
  <c r="A14"/>
  <c r="A13"/>
  <c r="A12"/>
  <c r="A11"/>
  <c r="A10"/>
  <c r="A9"/>
  <c r="A8"/>
  <c r="A7"/>
  <c r="O11"/>
  <c r="O13"/>
  <c r="O18"/>
  <c r="O17"/>
  <c r="O8"/>
  <c r="O9"/>
  <c r="O14"/>
  <c r="O10"/>
  <c r="O7"/>
  <c r="L14"/>
  <c r="L10"/>
  <c r="L11"/>
  <c r="L9"/>
  <c r="L22"/>
  <c r="L8"/>
  <c r="L17"/>
  <c r="L18"/>
  <c r="L7"/>
  <c r="I8"/>
  <c r="I7"/>
  <c r="I11"/>
  <c r="I15"/>
  <c r="E11"/>
  <c r="I12"/>
  <c r="I10"/>
  <c r="I17"/>
  <c r="E8"/>
  <c r="I16"/>
  <c r="E14"/>
  <c r="F14" s="1"/>
  <c r="I9"/>
  <c r="E10"/>
  <c r="E17"/>
  <c r="E9"/>
  <c r="E7"/>
  <c r="E18"/>
  <c r="F54" l="1"/>
  <c r="F56"/>
  <c r="F61"/>
  <c r="E108"/>
  <c r="D197"/>
  <c r="F8"/>
  <c r="F11"/>
  <c r="F35"/>
  <c r="F37"/>
  <c r="F40"/>
  <c r="E178"/>
  <c r="F178" s="1"/>
  <c r="D200"/>
  <c r="F247"/>
  <c r="F7"/>
  <c r="F17"/>
  <c r="F19"/>
  <c r="F217"/>
  <c r="E224"/>
  <c r="F224" s="1"/>
  <c r="F307"/>
  <c r="F308"/>
  <c r="F309"/>
  <c r="F310"/>
  <c r="F315"/>
  <c r="F316"/>
  <c r="F317"/>
  <c r="F318"/>
  <c r="F319"/>
  <c r="F320"/>
  <c r="F321"/>
  <c r="F322"/>
  <c r="F324"/>
  <c r="A350"/>
  <c r="A369"/>
  <c r="E85"/>
  <c r="F85" s="1"/>
  <c r="A326"/>
  <c r="F311"/>
  <c r="F323"/>
  <c r="F325"/>
  <c r="F357"/>
  <c r="F359"/>
  <c r="F361"/>
  <c r="F363"/>
  <c r="F365"/>
  <c r="F367"/>
  <c r="F356"/>
  <c r="F358"/>
  <c r="F360"/>
  <c r="F362"/>
  <c r="F364"/>
  <c r="F366"/>
  <c r="F368"/>
  <c r="A208"/>
  <c r="E245"/>
  <c r="F245" s="1"/>
  <c r="F349"/>
  <c r="F332"/>
  <c r="F333"/>
  <c r="F335"/>
  <c r="F337"/>
  <c r="F339"/>
  <c r="F341"/>
  <c r="F343"/>
  <c r="F345"/>
  <c r="F347"/>
  <c r="F334"/>
  <c r="F336"/>
  <c r="F338"/>
  <c r="F340"/>
  <c r="F342"/>
  <c r="F344"/>
  <c r="F346"/>
  <c r="F348"/>
  <c r="E313"/>
  <c r="F313" s="1"/>
  <c r="F239"/>
  <c r="F240"/>
  <c r="F241"/>
  <c r="F251"/>
  <c r="A254"/>
  <c r="F242"/>
  <c r="F246"/>
  <c r="F248"/>
  <c r="F252"/>
  <c r="F250"/>
  <c r="F218"/>
  <c r="F219"/>
  <c r="F226"/>
  <c r="F223"/>
  <c r="F222"/>
  <c r="F225"/>
  <c r="F228"/>
  <c r="A231"/>
  <c r="F206"/>
  <c r="F195"/>
  <c r="F197"/>
  <c r="F199"/>
  <c r="F203"/>
  <c r="F205"/>
  <c r="F196"/>
  <c r="F200"/>
  <c r="A187"/>
  <c r="F130"/>
  <c r="E157"/>
  <c r="F157" s="1"/>
  <c r="F181"/>
  <c r="F185"/>
  <c r="F186"/>
  <c r="F182"/>
  <c r="F184"/>
  <c r="E179"/>
  <c r="F179" s="1"/>
  <c r="F164"/>
  <c r="F165"/>
  <c r="F153"/>
  <c r="F159"/>
  <c r="F161"/>
  <c r="F163"/>
  <c r="F152"/>
  <c r="F154"/>
  <c r="F156"/>
  <c r="F160"/>
  <c r="F162"/>
  <c r="A23"/>
  <c r="F58"/>
  <c r="F64"/>
  <c r="F65"/>
  <c r="F66"/>
  <c r="F67"/>
  <c r="E133"/>
  <c r="F133" s="1"/>
  <c r="A166"/>
  <c r="F142"/>
  <c r="A144"/>
  <c r="F138"/>
  <c r="F131"/>
  <c r="F135"/>
  <c r="F137"/>
  <c r="F139"/>
  <c r="F141"/>
  <c r="F129"/>
  <c r="F134"/>
  <c r="F136"/>
  <c r="A121"/>
  <c r="F30"/>
  <c r="F31"/>
  <c r="F32"/>
  <c r="F33"/>
  <c r="F43"/>
  <c r="F44"/>
  <c r="F38"/>
  <c r="F104"/>
  <c r="F112"/>
  <c r="F114"/>
  <c r="F107"/>
  <c r="F111"/>
  <c r="F113"/>
  <c r="F103"/>
  <c r="F109"/>
  <c r="F116"/>
  <c r="F105"/>
  <c r="F102"/>
  <c r="F110"/>
  <c r="F108"/>
  <c r="F115"/>
  <c r="A95"/>
  <c r="F92"/>
  <c r="F78"/>
  <c r="F82"/>
  <c r="F84"/>
  <c r="F87"/>
  <c r="F91"/>
  <c r="F77"/>
  <c r="F79"/>
  <c r="F81"/>
  <c r="F83"/>
  <c r="F86"/>
  <c r="F88"/>
  <c r="A70"/>
  <c r="A47"/>
  <c r="F20"/>
  <c r="F18"/>
  <c r="F9"/>
  <c r="F10"/>
</calcChain>
</file>

<file path=xl/sharedStrings.xml><?xml version="1.0" encoding="utf-8"?>
<sst xmlns="http://schemas.openxmlformats.org/spreadsheetml/2006/main" count="904" uniqueCount="258">
  <si>
    <t>Congreso 1977</t>
  </si>
  <si>
    <t>Proyección de Diputados en un sistema electoral "confederal"  (cuatro circunscripciones)</t>
  </si>
  <si>
    <t>Total</t>
  </si>
  <si>
    <t>Votos</t>
  </si>
  <si>
    <t>%</t>
  </si>
  <si>
    <t>Resto de España</t>
  </si>
  <si>
    <t>Dip.</t>
  </si>
  <si>
    <t>Catalunya</t>
  </si>
  <si>
    <t>Galicia</t>
  </si>
  <si>
    <t>Euskadi</t>
  </si>
  <si>
    <t>UCD</t>
  </si>
  <si>
    <t>PSOE</t>
  </si>
  <si>
    <t>AP</t>
  </si>
  <si>
    <t>PSP US</t>
  </si>
  <si>
    <t>Pacte Dem.</t>
  </si>
  <si>
    <t>PNV</t>
  </si>
  <si>
    <t>UCiDCC</t>
  </si>
  <si>
    <t>Esq.Cat.</t>
  </si>
  <si>
    <t>ASD</t>
  </si>
  <si>
    <t>FDI</t>
  </si>
  <si>
    <t>AN 18 J</t>
  </si>
  <si>
    <t>PSG</t>
  </si>
  <si>
    <t>ESB</t>
  </si>
  <si>
    <t>Un diputado cada 102,000 habitantes. Se requiere un 3% de votos para entrar en el reparto de escaños.</t>
  </si>
  <si>
    <t>Congreso 1979</t>
  </si>
  <si>
    <t>CiU</t>
  </si>
  <si>
    <t>PSA</t>
  </si>
  <si>
    <t>HB</t>
  </si>
  <si>
    <t>ORT</t>
  </si>
  <si>
    <t>PSOE h</t>
  </si>
  <si>
    <t>EE</t>
  </si>
  <si>
    <t>MC OIC</t>
  </si>
  <si>
    <t>BNPG</t>
  </si>
  <si>
    <t>PTE</t>
  </si>
  <si>
    <t>Un diputado cada 107.100 habitantes. Se requiere un 3% de votos para entrar en el reparto de escaños.</t>
  </si>
  <si>
    <t>CD (AP)+upn</t>
  </si>
  <si>
    <t>PCE psuc</t>
  </si>
  <si>
    <t>ERC FNC</t>
  </si>
  <si>
    <t>UG (pg,psg,pog)</t>
  </si>
  <si>
    <t>UN (fn,fejons)</t>
  </si>
  <si>
    <t>Congreso 1982</t>
  </si>
  <si>
    <t>AP PDP uv par upn</t>
  </si>
  <si>
    <t>ap pdp pdl ucd</t>
  </si>
  <si>
    <t>CDS</t>
  </si>
  <si>
    <t>ERC</t>
  </si>
  <si>
    <t>FN</t>
  </si>
  <si>
    <t>PST</t>
  </si>
  <si>
    <t>PCC</t>
  </si>
  <si>
    <t>B PSG</t>
  </si>
  <si>
    <t>Un diputado cada 106.700 habitantes. Se requiere un 3% de votos para entrar en el reparto de escaños.</t>
  </si>
  <si>
    <t>Congreso 1986</t>
  </si>
  <si>
    <t>AP PDP PL upn cdg</t>
  </si>
  <si>
    <t>IU uec pgeu</t>
  </si>
  <si>
    <t>MUC</t>
  </si>
  <si>
    <t>PRD</t>
  </si>
  <si>
    <t>PA</t>
  </si>
  <si>
    <t>CG</t>
  </si>
  <si>
    <t>PSG EG</t>
  </si>
  <si>
    <t>BNG</t>
  </si>
  <si>
    <t>Un diputado cada 109.200 habitantes. Se requiere un 3% de votos para entrar en el reparto de escaños.</t>
  </si>
  <si>
    <t>Congreso 1989</t>
  </si>
  <si>
    <t>PP upn cdg</t>
  </si>
  <si>
    <t>IU ic</t>
  </si>
  <si>
    <t>ARM</t>
  </si>
  <si>
    <t>LV LV</t>
  </si>
  <si>
    <t>EA</t>
  </si>
  <si>
    <t>LVE</t>
  </si>
  <si>
    <t>PTE UC</t>
  </si>
  <si>
    <t>Consideramos que se habrían presentado juntos UV, PAR, EXU, PRM y PREPAL, que en junio de 1989 se coaligaron en las elecciones europeas con el nombre de "Federación de Partidos Regionales"</t>
  </si>
  <si>
    <t xml:space="preserve">UV PAR EXU </t>
  </si>
  <si>
    <t>Congreso 1993</t>
  </si>
  <si>
    <t xml:space="preserve">PP upn </t>
  </si>
  <si>
    <t>CC PAR UV UM</t>
  </si>
  <si>
    <t>EA EuE</t>
  </si>
  <si>
    <t>LE</t>
  </si>
  <si>
    <t>LV  evcec</t>
  </si>
  <si>
    <t>IU ic ug</t>
  </si>
  <si>
    <t>UA</t>
  </si>
  <si>
    <t>Un diputado cada 110.500 habitantes. Se requiere un 3% de votos para entrar en el reparto de escaños.</t>
  </si>
  <si>
    <t>Consideramos que se presentan juntos Coalición Canaria, Partido Aragonés, Unió Valenciana y Unió Mallorquina, que se coaligaron en las europeas de 1994. Pese a ello, quedan a 0,24% de conseguir representación.</t>
  </si>
  <si>
    <t>Congreso 1996</t>
  </si>
  <si>
    <t>PP upn par</t>
  </si>
  <si>
    <t xml:space="preserve">EA </t>
  </si>
  <si>
    <t>IU LV ic eg</t>
  </si>
  <si>
    <t>LV Euro aec ehb</t>
  </si>
  <si>
    <t>CC UV UM</t>
  </si>
  <si>
    <t>Si a esta coalición le añadimos el Partido Andalucista, sí que obtendrían 9 diputados, que perderían PSOE (3), PP (4) e IU (2)</t>
  </si>
  <si>
    <t>Un diputado cada 114.200 habitantes. Se requiere un 3% de votos para entrar en el reparto de escaños.</t>
  </si>
  <si>
    <t>Consideramos que se presentan juntos Coalición Canaria, Unió Valenciana y Unió Mallorquina, que se coaligaron en las europeas de 1994. No alcanzan el mínimo del 3%, ni siquiera si les sumamos el PA.</t>
  </si>
  <si>
    <t>CHA</t>
  </si>
  <si>
    <t>UC CDS</t>
  </si>
  <si>
    <t>Congreso 2000</t>
  </si>
  <si>
    <t>PP upn upm</t>
  </si>
  <si>
    <t>PSOE prog</t>
  </si>
  <si>
    <t>IU euia</t>
  </si>
  <si>
    <t>CC PA UV PAR</t>
  </si>
  <si>
    <t>ICV</t>
  </si>
  <si>
    <t>GIL blm</t>
  </si>
  <si>
    <t>LV bnv</t>
  </si>
  <si>
    <t>Un diputado cada 113.500 habitantes. Se requiere un 3% de votos para entrar en el reparto de escaños.</t>
  </si>
  <si>
    <t>En esta simulación, Coalición Canaria, Partido Andalucista, Unió Valenciana y Partido Aragonés repiten la coalición que formaron en las elecciones europeas de 1999, lo cual les lleva a obtener 8 escaños.</t>
  </si>
  <si>
    <t>Congreso 2004</t>
  </si>
  <si>
    <t xml:space="preserve">PSOE  </t>
  </si>
  <si>
    <t>PP upn uv upm</t>
  </si>
  <si>
    <t>ERC erpv</t>
  </si>
  <si>
    <t>LVEP evae</t>
  </si>
  <si>
    <t>IU icv euia ba ppib</t>
  </si>
  <si>
    <t>NaBai</t>
  </si>
  <si>
    <t>CC PA PAR UM CDN EXU PAS</t>
  </si>
  <si>
    <t>en las elecciones europeas de 2004.</t>
  </si>
  <si>
    <t>Aralar-Z</t>
  </si>
  <si>
    <t>(Na-Bai)</t>
  </si>
  <si>
    <t>Un diputado cada 121.300 habitantes. Se requiere un 3% de votos para entrar en el reparto de escaños.</t>
  </si>
  <si>
    <t xml:space="preserve">En esta simulación, Coalición Canaria, Partido Andalucista, Partido Aragonés, Unió Mallorquina, Conv.Dem.Navarra, Partiu Asturianista y Extremadura Unida repiten la coalición que formaron </t>
  </si>
  <si>
    <t>Congreso 2008</t>
  </si>
  <si>
    <t>IUA icv euia ebb ba</t>
  </si>
  <si>
    <t>UPyD</t>
  </si>
  <si>
    <t>LV</t>
  </si>
  <si>
    <t>C's</t>
  </si>
  <si>
    <t>CC CA PAR EXU</t>
  </si>
  <si>
    <t>Aralar</t>
  </si>
  <si>
    <t>Un diputado cada 128.500 habitantes. Se requiere un 3% de votos para entrar en el reparto de escaños.</t>
  </si>
  <si>
    <t>En esta simulación, Coalición Canaria, Coalición Andalucista (PA-PSA-FA), Partido Aragonés y Extremadura Unida repiten la coalición que formaron en las elecciones europeas de 2004.</t>
  </si>
  <si>
    <t>Congreso 2011</t>
  </si>
  <si>
    <t>PP upn par exu ccn</t>
  </si>
  <si>
    <t>IUA icv euia cha b</t>
  </si>
  <si>
    <t>Amaiur</t>
  </si>
  <si>
    <t>ERC R</t>
  </si>
  <si>
    <t>CC NC PA</t>
  </si>
  <si>
    <t>PACMA</t>
  </si>
  <si>
    <t>Foro Ast.</t>
  </si>
  <si>
    <t>PxC</t>
  </si>
  <si>
    <t>EenB</t>
  </si>
  <si>
    <t>Un diputado cada 133.500 habitantes. Se requiere un 3% de votos para entrar en el reparto de escaños.</t>
  </si>
  <si>
    <t>No logran alcanzar el 3 %, ni siquiera presentándose unidos como hacían en las elecciones europeas, Coalición Canaria y Partido Andalucista.</t>
  </si>
  <si>
    <t>EQUO compro. psm</t>
  </si>
  <si>
    <t>PAR AIC UV EXU</t>
  </si>
  <si>
    <t>Una hipotética coalición de Partido Aragonés Regionalista, Agrupaciones Ind. de Canarias, Unió Valenciana y Extremadura Unida no alcanzaría representación.</t>
  </si>
  <si>
    <t>EDC  dcv</t>
  </si>
  <si>
    <t>EE  unai</t>
  </si>
  <si>
    <t>Europeas 1987</t>
  </si>
  <si>
    <t>IU</t>
  </si>
  <si>
    <t>PDP</t>
  </si>
  <si>
    <t>UV</t>
  </si>
  <si>
    <t>AS</t>
  </si>
  <si>
    <t>PAR</t>
  </si>
  <si>
    <t>AIC</t>
  </si>
  <si>
    <t>EA 1</t>
  </si>
  <si>
    <t>PNV 1</t>
  </si>
  <si>
    <t>IP  cha ene psgeg ee</t>
  </si>
  <si>
    <t>EP --- erc png ea</t>
  </si>
  <si>
    <t>UEEB --- --- pgn pnv</t>
  </si>
  <si>
    <t>Europeas 1989</t>
  </si>
  <si>
    <t>PP</t>
  </si>
  <si>
    <t>Ruiz Mateos</t>
  </si>
  <si>
    <t>CN aic --- cg pnv</t>
  </si>
  <si>
    <t>IP upv ene psgeg ee</t>
  </si>
  <si>
    <t>LV lv ev aeg pee</t>
  </si>
  <si>
    <t>LVEco</t>
  </si>
  <si>
    <t>FPR uv,prc,exu</t>
  </si>
  <si>
    <t>PCPE pcc</t>
  </si>
  <si>
    <t>AV MEC</t>
  </si>
  <si>
    <t>Se eligen 60 diputados. Cada circunscripción tiene un escaño y otro por cada 680.000 habitantes.</t>
  </si>
  <si>
    <t>Europeas 1994</t>
  </si>
  <si>
    <t>CiU upv psm</t>
  </si>
  <si>
    <t>CN cc,uv,par --- cg pnv</t>
  </si>
  <si>
    <t>EP tc erc --- ea</t>
  </si>
  <si>
    <t>F CDS</t>
  </si>
  <si>
    <t>PA PAP</t>
  </si>
  <si>
    <t>Grupo Verde</t>
  </si>
  <si>
    <t>EV CEC</t>
  </si>
  <si>
    <t>Cada circunscripción tiene un escaño y otro por cada 650.000 habitantes.</t>
  </si>
  <si>
    <t>Cada circunscripción tiene un escaño y otro por cada 650.000 habitantes. Coalición nacionalista queda a 2.100 votos de obtener un diputado en la circunscripción principal.</t>
  </si>
  <si>
    <t>Europeas 1999</t>
  </si>
  <si>
    <t>CiU bnv,psm</t>
  </si>
  <si>
    <t>CE cc,pa,uv,par</t>
  </si>
  <si>
    <t>CNEP um erc pnv,ea</t>
  </si>
  <si>
    <t>EH</t>
  </si>
  <si>
    <t>LVIP lv,cha icv edg---</t>
  </si>
  <si>
    <t>LV GV</t>
  </si>
  <si>
    <t>PI</t>
  </si>
  <si>
    <t>IU icv</t>
  </si>
  <si>
    <t>Europeas 2004</t>
  </si>
  <si>
    <t>Cada circunscripción tiene un escaño y otro por cada 820.000 habitantes.</t>
  </si>
  <si>
    <t xml:space="preserve">PSOE   </t>
  </si>
  <si>
    <t>bnv,psm ciu pnv bng</t>
  </si>
  <si>
    <t>GALEUSCA</t>
  </si>
  <si>
    <t>EP cha erc --- ea</t>
  </si>
  <si>
    <t>CE cc,pa,par,uv</t>
  </si>
  <si>
    <t>LV GVE</t>
  </si>
  <si>
    <t>Europeas 2009</t>
  </si>
  <si>
    <t>cc,pa,bnv ciu --- pnv</t>
  </si>
  <si>
    <t>IU icv --- ebb</t>
  </si>
  <si>
    <t>EPV lv erc bng ea,aralar</t>
  </si>
  <si>
    <t>Inic.Internac.</t>
  </si>
  <si>
    <t>Cada circunscripción tiene un escaño y otro por cada 950.000 habitantes.</t>
  </si>
  <si>
    <t>Coalición por Europa</t>
  </si>
  <si>
    <t>CiU,2 PNV,1</t>
  </si>
  <si>
    <t>ERC 1</t>
  </si>
  <si>
    <t>Europeas 2014</t>
  </si>
  <si>
    <t>cc,ciu,cxg,pnv</t>
  </si>
  <si>
    <t>Esquerra</t>
  </si>
  <si>
    <t>LPD  ehb,---,bng,ehb</t>
  </si>
  <si>
    <t>EQUO-Compromís</t>
  </si>
  <si>
    <t>Cada circunscripción tiene un escaño y otro por cada 920.000 habitantes.</t>
  </si>
  <si>
    <t>IU icv age</t>
  </si>
  <si>
    <t>Podemos</t>
  </si>
  <si>
    <t>Vox</t>
  </si>
  <si>
    <t>RED</t>
  </si>
  <si>
    <t>Partido X</t>
  </si>
  <si>
    <t>CiU,3 PNV,1</t>
  </si>
  <si>
    <t>Bildu 1</t>
  </si>
  <si>
    <t>Congreso 2015</t>
  </si>
  <si>
    <t>PP upn par fac</t>
  </si>
  <si>
    <t>PSOE nc</t>
  </si>
  <si>
    <t>Podemos-co ECP Marea</t>
  </si>
  <si>
    <t>UP: IU upc cha</t>
  </si>
  <si>
    <t>DiL</t>
  </si>
  <si>
    <t>EHB</t>
  </si>
  <si>
    <t>CC PNC</t>
  </si>
  <si>
    <t>Nós CG</t>
  </si>
  <si>
    <t>Unió</t>
  </si>
  <si>
    <t>Un diputado cada 134.200 habitantes. Se requiere un 3% de votos para entrar en el reparto de escaños.</t>
  </si>
  <si>
    <t>PNV- g bai</t>
  </si>
  <si>
    <t>Rec 0 GV</t>
  </si>
  <si>
    <t>Congreso 2016</t>
  </si>
  <si>
    <t>Unidos Podemos-co ECP Marea</t>
  </si>
  <si>
    <t xml:space="preserve">ERC </t>
  </si>
  <si>
    <t>CDC</t>
  </si>
  <si>
    <t>BNG Nós</t>
  </si>
  <si>
    <t>Europeas 2019</t>
  </si>
  <si>
    <t>UP</t>
  </si>
  <si>
    <t>JxCat</t>
  </si>
  <si>
    <t>Comp.</t>
  </si>
  <si>
    <t>V</t>
  </si>
  <si>
    <t>R0</t>
  </si>
  <si>
    <t>Ahora Rep.</t>
  </si>
  <si>
    <t>ERC 2, B 1</t>
  </si>
  <si>
    <t>EUS ---pnv,cc</t>
  </si>
  <si>
    <t>Congreso noviembre 2019</t>
  </si>
  <si>
    <t>Congreso abril 2019</t>
  </si>
  <si>
    <t>PP fa  NA+</t>
  </si>
  <si>
    <t>UP - CenCP</t>
  </si>
  <si>
    <t>Compromís</t>
  </si>
  <si>
    <t>CC-PNC</t>
  </si>
  <si>
    <t>FR</t>
  </si>
  <si>
    <t>UP-ECP</t>
  </si>
  <si>
    <t>ERC-M</t>
  </si>
  <si>
    <t>MásPaís-Q-Comp</t>
  </si>
  <si>
    <t>CUP</t>
  </si>
  <si>
    <t>CC</t>
  </si>
  <si>
    <t>PP fa NA+</t>
  </si>
  <si>
    <t>Congreso 2023</t>
  </si>
  <si>
    <t xml:space="preserve">PP  </t>
  </si>
  <si>
    <t>Sumar</t>
  </si>
  <si>
    <t>Junts</t>
  </si>
  <si>
    <t>UPN</t>
  </si>
  <si>
    <t>FO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</si>
</sst>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2" borderId="0" xfId="0" applyFill="1" applyAlignment="1">
      <alignment horizontal="center"/>
    </xf>
    <xf numFmtId="3" fontId="0" fillId="2" borderId="0" xfId="0" applyNumberFormat="1" applyFill="1"/>
    <xf numFmtId="10" fontId="0" fillId="2" borderId="0" xfId="1" applyNumberFormat="1" applyFont="1" applyFill="1"/>
    <xf numFmtId="0" fontId="0" fillId="3" borderId="0" xfId="0" applyFill="1"/>
    <xf numFmtId="3" fontId="0" fillId="0" borderId="1" xfId="0" applyNumberFormat="1" applyBorder="1"/>
    <xf numFmtId="10" fontId="0" fillId="0" borderId="2" xfId="1" applyNumberFormat="1" applyFont="1" applyBorder="1"/>
    <xf numFmtId="0" fontId="0" fillId="0" borderId="3" xfId="0" applyBorder="1" applyAlignment="1">
      <alignment horizontal="center"/>
    </xf>
    <xf numFmtId="3" fontId="0" fillId="0" borderId="4" xfId="0" applyNumberFormat="1" applyBorder="1"/>
    <xf numFmtId="10" fontId="0" fillId="0" borderId="0" xfId="1" applyNumberFormat="1" applyFont="1" applyBorder="1"/>
    <xf numFmtId="0" fontId="0" fillId="0" borderId="5" xfId="0" applyBorder="1" applyAlignment="1">
      <alignment horizontal="center"/>
    </xf>
    <xf numFmtId="3" fontId="0" fillId="0" borderId="6" xfId="0" applyNumberFormat="1" applyBorder="1"/>
    <xf numFmtId="10" fontId="0" fillId="0" borderId="7" xfId="1" applyNumberFormat="1" applyFont="1" applyBorder="1"/>
    <xf numFmtId="0" fontId="0" fillId="0" borderId="8" xfId="0" applyBorder="1" applyAlignment="1">
      <alignment horizontal="center"/>
    </xf>
    <xf numFmtId="10" fontId="0" fillId="0" borderId="0" xfId="1" applyNumberFormat="1" applyFont="1" applyFill="1"/>
    <xf numFmtId="0" fontId="0" fillId="0" borderId="7" xfId="0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0" fillId="0" borderId="0" xfId="0" applyNumberFormat="1" applyBorder="1"/>
    <xf numFmtId="0" fontId="0" fillId="0" borderId="0" xfId="0" applyBorder="1"/>
    <xf numFmtId="3" fontId="4" fillId="0" borderId="1" xfId="0" applyNumberFormat="1" applyFont="1" applyBorder="1"/>
    <xf numFmtId="3" fontId="4" fillId="0" borderId="4" xfId="0" applyNumberFormat="1" applyFont="1" applyBorder="1"/>
    <xf numFmtId="0" fontId="0" fillId="0" borderId="0" xfId="0" quotePrefix="1"/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4" fillId="0" borderId="6" xfId="0" applyNumberFormat="1" applyFont="1" applyBorder="1"/>
    <xf numFmtId="3" fontId="4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0" fillId="2" borderId="7" xfId="0" applyNumberFormat="1" applyFill="1" applyBorder="1"/>
    <xf numFmtId="10" fontId="0" fillId="2" borderId="7" xfId="1" applyNumberFormat="1" applyFont="1" applyFill="1" applyBorder="1"/>
    <xf numFmtId="3" fontId="0" fillId="0" borderId="0" xfId="0" applyNumberFormat="1" applyFill="1" applyBorder="1"/>
    <xf numFmtId="10" fontId="0" fillId="0" borderId="0" xfId="1" applyNumberFormat="1" applyFont="1" applyFill="1" applyBorder="1"/>
    <xf numFmtId="10" fontId="0" fillId="2" borderId="0" xfId="1" applyNumberFormat="1" applyFont="1" applyFill="1" applyBorder="1"/>
    <xf numFmtId="44" fontId="0" fillId="0" borderId="0" xfId="2" applyFont="1" applyBorder="1"/>
  </cellXfs>
  <cellStyles count="3">
    <cellStyle name="Moneda" xfId="2" builtinId="4"/>
    <cellStyle name="Normal" xfId="0" builtinId="0"/>
    <cellStyle name="Pe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1"/>
  <sheetViews>
    <sheetView tabSelected="1" topLeftCell="A483" workbookViewId="0">
      <selection activeCell="I517" sqref="I517"/>
    </sheetView>
  </sheetViews>
  <sheetFormatPr defaultColWidth="11.42578125" defaultRowHeight="15"/>
  <cols>
    <col min="2" max="2" width="19.7109375" customWidth="1"/>
    <col min="7" max="7" width="11.85546875" bestFit="1" customWidth="1"/>
  </cols>
  <sheetData>
    <row r="1" spans="1:16" ht="26.25">
      <c r="A1" s="1" t="s">
        <v>1</v>
      </c>
    </row>
    <row r="4" spans="1:16">
      <c r="A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C5" t="s">
        <v>2</v>
      </c>
      <c r="E5" t="s">
        <v>5</v>
      </c>
      <c r="H5" t="s">
        <v>7</v>
      </c>
      <c r="K5" t="s">
        <v>8</v>
      </c>
      <c r="N5" t="s">
        <v>9</v>
      </c>
    </row>
    <row r="6" spans="1:16">
      <c r="A6" t="s">
        <v>6</v>
      </c>
      <c r="C6" t="s">
        <v>3</v>
      </c>
      <c r="D6" t="s">
        <v>4</v>
      </c>
      <c r="E6" t="s">
        <v>3</v>
      </c>
      <c r="F6" t="s">
        <v>4</v>
      </c>
      <c r="G6" t="s">
        <v>6</v>
      </c>
      <c r="H6" t="s">
        <v>3</v>
      </c>
      <c r="I6" t="s">
        <v>4</v>
      </c>
      <c r="J6" t="s">
        <v>6</v>
      </c>
      <c r="K6" t="s">
        <v>3</v>
      </c>
      <c r="L6" t="s">
        <v>4</v>
      </c>
      <c r="M6" t="s">
        <v>6</v>
      </c>
      <c r="N6" t="s">
        <v>3</v>
      </c>
      <c r="O6" t="s">
        <v>4</v>
      </c>
      <c r="P6" t="s">
        <v>6</v>
      </c>
    </row>
    <row r="7" spans="1:16">
      <c r="A7" s="4">
        <f>+G7+J7+M7+P7</f>
        <v>135</v>
      </c>
      <c r="B7" t="s">
        <v>10</v>
      </c>
      <c r="C7" s="5">
        <v>6310711</v>
      </c>
      <c r="D7" s="6">
        <f t="shared" ref="D7:D22" si="0">+C7/C$23</f>
        <v>0.34438967028158679</v>
      </c>
      <c r="E7" s="19">
        <f>+C7-H7-K7-N7</f>
        <v>5059092</v>
      </c>
      <c r="F7" s="9">
        <f>+E7/E$23</f>
        <v>0.38515486803984555</v>
      </c>
      <c r="G7" s="10">
        <v>105</v>
      </c>
      <c r="H7" s="8">
        <v>515293</v>
      </c>
      <c r="I7" s="9">
        <f>+H7/H$23</f>
        <v>0.16901723979585143</v>
      </c>
      <c r="J7" s="10">
        <v>10</v>
      </c>
      <c r="K7" s="19">
        <v>606726</v>
      </c>
      <c r="L7" s="9">
        <f>+K7/K$23</f>
        <v>0.53758265632600555</v>
      </c>
      <c r="M7" s="10">
        <v>17</v>
      </c>
      <c r="N7" s="8">
        <v>129600</v>
      </c>
      <c r="O7" s="9">
        <f>+N7/N$23</f>
        <v>0.12809627779496491</v>
      </c>
      <c r="P7" s="10">
        <v>3</v>
      </c>
    </row>
    <row r="8" spans="1:16">
      <c r="A8" s="4">
        <f t="shared" ref="A8:A22" si="1">+G8+J8+M8+P8</f>
        <v>112</v>
      </c>
      <c r="B8" t="s">
        <v>11</v>
      </c>
      <c r="C8" s="5">
        <v>5371825</v>
      </c>
      <c r="D8" s="6">
        <f t="shared" si="0"/>
        <v>0.29315255294694764</v>
      </c>
      <c r="E8" s="11">
        <f t="shared" ref="E8:E23" si="2">+C8-H8-K8-N8</f>
        <v>4058439</v>
      </c>
      <c r="F8" s="12">
        <f t="shared" ref="F8:F20" si="3">+E8/E$23</f>
        <v>0.30897393000419104</v>
      </c>
      <c r="G8" s="13">
        <v>84</v>
      </c>
      <c r="H8" s="20">
        <v>870362</v>
      </c>
      <c r="I8" s="12">
        <f t="shared" ref="I8:I19" si="4">+H8/H$23</f>
        <v>0.28548065442999776</v>
      </c>
      <c r="J8" s="13">
        <v>17</v>
      </c>
      <c r="K8" s="11">
        <v>175127</v>
      </c>
      <c r="L8" s="12">
        <f t="shared" ref="L8:L22" si="5">+K8/K$23</f>
        <v>0.15516928210494418</v>
      </c>
      <c r="M8" s="13">
        <v>4</v>
      </c>
      <c r="N8" s="11">
        <v>267897</v>
      </c>
      <c r="O8" s="12">
        <f t="shared" ref="O8:O21" si="6">+N8/N$23</f>
        <v>0.26478864608362435</v>
      </c>
      <c r="P8" s="13">
        <v>7</v>
      </c>
    </row>
    <row r="9" spans="1:16">
      <c r="A9" s="4">
        <f t="shared" si="1"/>
        <v>34</v>
      </c>
      <c r="B9" t="s">
        <v>36</v>
      </c>
      <c r="C9" s="5">
        <v>1709867</v>
      </c>
      <c r="D9" s="6">
        <f t="shared" si="0"/>
        <v>9.3311281780351835E-2</v>
      </c>
      <c r="E9" s="11">
        <f t="shared" si="2"/>
        <v>1071631</v>
      </c>
      <c r="F9" s="12">
        <f t="shared" si="3"/>
        <v>8.1584580077296034E-2</v>
      </c>
      <c r="G9" s="13">
        <v>22</v>
      </c>
      <c r="H9" s="11">
        <v>558132</v>
      </c>
      <c r="I9" s="12">
        <f t="shared" si="4"/>
        <v>0.18306852622049621</v>
      </c>
      <c r="J9" s="13">
        <v>11</v>
      </c>
      <c r="K9" s="11">
        <v>34188</v>
      </c>
      <c r="L9" s="12">
        <f t="shared" si="5"/>
        <v>3.0291887696379381E-2</v>
      </c>
      <c r="M9" s="13"/>
      <c r="N9" s="11">
        <v>45916</v>
      </c>
      <c r="O9" s="12">
        <f t="shared" si="6"/>
        <v>4.5383246074333403E-2</v>
      </c>
      <c r="P9" s="13">
        <v>1</v>
      </c>
    </row>
    <row r="10" spans="1:16">
      <c r="A10" s="4">
        <f t="shared" si="1"/>
        <v>31</v>
      </c>
      <c r="B10" t="s">
        <v>12</v>
      </c>
      <c r="C10" s="5">
        <v>1525624</v>
      </c>
      <c r="D10" s="6">
        <f t="shared" si="0"/>
        <v>8.3256727543643744E-2</v>
      </c>
      <c r="E10" s="11">
        <f t="shared" si="2"/>
        <v>1197143</v>
      </c>
      <c r="F10" s="12">
        <f t="shared" si="3"/>
        <v>9.1139962307430822E-2</v>
      </c>
      <c r="G10" s="13">
        <v>24</v>
      </c>
      <c r="H10" s="11">
        <v>108333</v>
      </c>
      <c r="I10" s="12">
        <f t="shared" si="4"/>
        <v>3.5533462784869914E-2</v>
      </c>
      <c r="J10" s="13">
        <v>2</v>
      </c>
      <c r="K10" s="11">
        <v>148239</v>
      </c>
      <c r="L10" s="12">
        <f t="shared" si="5"/>
        <v>0.131345476197016</v>
      </c>
      <c r="M10" s="13">
        <v>4</v>
      </c>
      <c r="N10" s="11">
        <v>71909</v>
      </c>
      <c r="O10" s="12">
        <f t="shared" si="6"/>
        <v>7.1074654629306566E-2</v>
      </c>
      <c r="P10" s="13">
        <v>1</v>
      </c>
    </row>
    <row r="11" spans="1:16">
      <c r="A11" s="4">
        <f t="shared" si="1"/>
        <v>15</v>
      </c>
      <c r="B11" t="s">
        <v>13</v>
      </c>
      <c r="C11" s="5">
        <v>816582</v>
      </c>
      <c r="D11" s="6">
        <f t="shared" si="0"/>
        <v>4.4562713414998519E-2</v>
      </c>
      <c r="E11" s="11">
        <f t="shared" si="2"/>
        <v>701930</v>
      </c>
      <c r="F11" s="12">
        <f t="shared" si="3"/>
        <v>5.3438790305297627E-2</v>
      </c>
      <c r="G11" s="13">
        <v>14</v>
      </c>
      <c r="H11" s="11">
        <v>43029</v>
      </c>
      <c r="I11" s="12">
        <f t="shared" si="4"/>
        <v>1.4113606843437989E-2</v>
      </c>
      <c r="J11" s="13"/>
      <c r="K11" s="11">
        <v>53067</v>
      </c>
      <c r="L11" s="12">
        <f t="shared" si="5"/>
        <v>4.7019410447635565E-2</v>
      </c>
      <c r="M11" s="13">
        <v>1</v>
      </c>
      <c r="N11" s="11">
        <v>18556</v>
      </c>
      <c r="O11" s="12">
        <f t="shared" si="6"/>
        <v>1.834069853984081E-2</v>
      </c>
      <c r="P11" s="13"/>
    </row>
    <row r="12" spans="1:16">
      <c r="A12" s="4">
        <f t="shared" si="1"/>
        <v>10</v>
      </c>
      <c r="B12" t="s">
        <v>14</v>
      </c>
      <c r="C12" s="5">
        <v>514647</v>
      </c>
      <c r="D12" s="6">
        <f t="shared" si="0"/>
        <v>2.8085442455122376E-2</v>
      </c>
      <c r="E12" s="11"/>
      <c r="F12" s="12"/>
      <c r="G12" s="13"/>
      <c r="H12" s="11">
        <v>514647</v>
      </c>
      <c r="I12" s="12">
        <f t="shared" si="4"/>
        <v>0.16880535037195449</v>
      </c>
      <c r="J12" s="13">
        <v>10</v>
      </c>
      <c r="K12" s="11"/>
      <c r="L12" s="12"/>
      <c r="M12" s="13"/>
      <c r="N12" s="11"/>
      <c r="O12" s="12"/>
      <c r="P12" s="13"/>
    </row>
    <row r="13" spans="1:16">
      <c r="A13" s="4">
        <f t="shared" si="1"/>
        <v>7</v>
      </c>
      <c r="B13" t="s">
        <v>15</v>
      </c>
      <c r="C13" s="5">
        <v>296193</v>
      </c>
      <c r="D13" s="6">
        <f t="shared" si="0"/>
        <v>1.6163917125933042E-2</v>
      </c>
      <c r="E13" s="11"/>
      <c r="F13" s="12"/>
      <c r="G13" s="13"/>
      <c r="H13" s="11"/>
      <c r="I13" s="12"/>
      <c r="J13" s="13"/>
      <c r="K13" s="11"/>
      <c r="L13" s="12"/>
      <c r="M13" s="13"/>
      <c r="N13" s="20">
        <v>296193</v>
      </c>
      <c r="O13" s="12">
        <f t="shared" si="6"/>
        <v>0.29275633340219165</v>
      </c>
      <c r="P13" s="13">
        <v>7</v>
      </c>
    </row>
    <row r="14" spans="1:16">
      <c r="A14" s="4">
        <f t="shared" si="1"/>
        <v>0</v>
      </c>
      <c r="B14" t="s">
        <v>138</v>
      </c>
      <c r="C14" s="5">
        <v>241941</v>
      </c>
      <c r="D14" s="6">
        <f t="shared" si="0"/>
        <v>1.3203263660401717E-2</v>
      </c>
      <c r="E14" s="11">
        <f t="shared" si="2"/>
        <v>192827</v>
      </c>
      <c r="F14" s="12">
        <f t="shared" si="3"/>
        <v>1.4680155596996319E-2</v>
      </c>
      <c r="G14" s="13"/>
      <c r="H14" s="11"/>
      <c r="I14" s="12"/>
      <c r="J14" s="13"/>
      <c r="K14" s="11">
        <v>23014</v>
      </c>
      <c r="L14" s="12">
        <f t="shared" si="5"/>
        <v>2.0391292367043262E-2</v>
      </c>
      <c r="M14" s="13"/>
      <c r="N14" s="11">
        <v>26100</v>
      </c>
      <c r="O14" s="12">
        <f t="shared" si="6"/>
        <v>2.5797167055930433E-2</v>
      </c>
      <c r="P14" s="13"/>
    </row>
    <row r="15" spans="1:16">
      <c r="A15" s="4">
        <f t="shared" si="1"/>
        <v>3</v>
      </c>
      <c r="B15" t="s">
        <v>16</v>
      </c>
      <c r="C15" s="5">
        <v>172791</v>
      </c>
      <c r="D15" s="6">
        <f t="shared" si="0"/>
        <v>9.4295928806794761E-3</v>
      </c>
      <c r="E15" s="11"/>
      <c r="F15" s="12"/>
      <c r="G15" s="13"/>
      <c r="H15" s="11">
        <v>172791</v>
      </c>
      <c r="I15" s="12">
        <f t="shared" si="4"/>
        <v>5.6675828861569952E-2</v>
      </c>
      <c r="J15" s="13">
        <v>3</v>
      </c>
      <c r="K15" s="11"/>
      <c r="L15" s="12"/>
      <c r="M15" s="13"/>
      <c r="N15" s="11"/>
      <c r="O15" s="12"/>
      <c r="P15" s="13"/>
    </row>
    <row r="16" spans="1:16">
      <c r="A16" s="4">
        <f t="shared" si="1"/>
        <v>2</v>
      </c>
      <c r="B16" t="s">
        <v>17</v>
      </c>
      <c r="C16" s="5">
        <v>143954</v>
      </c>
      <c r="D16" s="6">
        <f t="shared" si="0"/>
        <v>7.8558930357792555E-3</v>
      </c>
      <c r="E16" s="11"/>
      <c r="F16" s="12"/>
      <c r="G16" s="13"/>
      <c r="H16" s="11">
        <v>143954</v>
      </c>
      <c r="I16" s="12">
        <f t="shared" si="4"/>
        <v>4.7217229299780894E-2</v>
      </c>
      <c r="J16" s="13">
        <v>2</v>
      </c>
      <c r="K16" s="11"/>
      <c r="L16" s="12"/>
      <c r="M16" s="13"/>
      <c r="N16" s="11"/>
      <c r="O16" s="12"/>
      <c r="P16" s="13"/>
    </row>
    <row r="17" spans="1:16">
      <c r="A17" s="4">
        <f t="shared" si="1"/>
        <v>0</v>
      </c>
      <c r="B17" t="s">
        <v>18</v>
      </c>
      <c r="C17" s="5">
        <v>126944</v>
      </c>
      <c r="D17" s="6">
        <f t="shared" si="0"/>
        <v>6.9276191389885788E-3</v>
      </c>
      <c r="E17" s="11">
        <f t="shared" si="2"/>
        <v>103930</v>
      </c>
      <c r="F17" s="12">
        <f t="shared" si="3"/>
        <v>7.9123181462960445E-3</v>
      </c>
      <c r="G17" s="13"/>
      <c r="H17" s="11">
        <v>8738</v>
      </c>
      <c r="I17" s="12">
        <f t="shared" si="4"/>
        <v>2.8660832600795076E-3</v>
      </c>
      <c r="J17" s="13"/>
      <c r="K17" s="11">
        <v>4728</v>
      </c>
      <c r="L17" s="12">
        <f t="shared" si="5"/>
        <v>4.1891905062735966E-3</v>
      </c>
      <c r="M17" s="13"/>
      <c r="N17" s="11">
        <v>9548</v>
      </c>
      <c r="O17" s="12">
        <f t="shared" si="6"/>
        <v>9.4372165153265818E-3</v>
      </c>
      <c r="P17" s="13"/>
    </row>
    <row r="18" spans="1:16">
      <c r="A18" s="4">
        <f t="shared" si="1"/>
        <v>0</v>
      </c>
      <c r="B18" t="s">
        <v>19</v>
      </c>
      <c r="C18" s="5">
        <v>122608</v>
      </c>
      <c r="D18" s="6">
        <f t="shared" si="0"/>
        <v>6.6909938822875574E-3</v>
      </c>
      <c r="E18" s="11">
        <f t="shared" si="2"/>
        <v>110618</v>
      </c>
      <c r="F18" s="12">
        <f t="shared" si="3"/>
        <v>8.4214837747231385E-3</v>
      </c>
      <c r="G18" s="13"/>
      <c r="H18" s="11"/>
      <c r="I18" s="12"/>
      <c r="J18" s="13"/>
      <c r="K18" s="11">
        <v>7373</v>
      </c>
      <c r="L18" s="12">
        <f t="shared" si="5"/>
        <v>6.5327626063357075E-3</v>
      </c>
      <c r="M18" s="13"/>
      <c r="N18" s="11">
        <v>4617</v>
      </c>
      <c r="O18" s="12">
        <f t="shared" si="6"/>
        <v>4.5634298964456251E-3</v>
      </c>
      <c r="P18" s="13"/>
    </row>
    <row r="19" spans="1:16">
      <c r="A19" s="4">
        <f t="shared" ref="A19:A20" si="7">+G19+J19+M19+P19</f>
        <v>0</v>
      </c>
      <c r="B19" t="s">
        <v>20</v>
      </c>
      <c r="C19" s="5">
        <v>97894</v>
      </c>
      <c r="D19" s="6">
        <f t="shared" si="0"/>
        <v>5.3422954057863936E-3</v>
      </c>
      <c r="E19" s="11">
        <f t="shared" ref="E19:E20" si="8">+C19-H19-K19-N19</f>
        <v>86883</v>
      </c>
      <c r="F19" s="12">
        <f t="shared" si="3"/>
        <v>6.6145091648671149E-3</v>
      </c>
      <c r="G19" s="13"/>
      <c r="H19" s="11">
        <v>8895</v>
      </c>
      <c r="I19" s="12">
        <f t="shared" si="4"/>
        <v>2.9175796061349534E-3</v>
      </c>
      <c r="J19" s="13"/>
      <c r="K19" s="11">
        <v>2116</v>
      </c>
      <c r="L19" s="12">
        <f t="shared" si="5"/>
        <v>1.874857680049689E-3</v>
      </c>
      <c r="M19" s="13"/>
      <c r="N19" s="11"/>
      <c r="O19" s="12"/>
      <c r="P19" s="13"/>
    </row>
    <row r="20" spans="1:16">
      <c r="A20" s="4">
        <f t="shared" si="7"/>
        <v>1</v>
      </c>
      <c r="B20" t="s">
        <v>139</v>
      </c>
      <c r="C20" s="5">
        <v>85906</v>
      </c>
      <c r="D20" s="6">
        <f t="shared" si="0"/>
        <v>4.6880833261434404E-3</v>
      </c>
      <c r="E20" s="11">
        <f t="shared" si="8"/>
        <v>24489</v>
      </c>
      <c r="F20" s="12">
        <f t="shared" si="3"/>
        <v>1.8643775530130264E-3</v>
      </c>
      <c r="G20" s="13"/>
      <c r="H20" s="11"/>
      <c r="I20" s="12"/>
      <c r="J20" s="13"/>
      <c r="K20" s="11"/>
      <c r="L20" s="12"/>
      <c r="M20" s="13"/>
      <c r="N20" s="11">
        <v>61417</v>
      </c>
      <c r="O20" s="12">
        <f t="shared" si="6"/>
        <v>6.070439115226358E-2</v>
      </c>
      <c r="P20" s="13">
        <v>1</v>
      </c>
    </row>
    <row r="21" spans="1:16">
      <c r="A21" s="4">
        <f t="shared" ref="A21" si="9">+G21+J21+M21+P21</f>
        <v>0</v>
      </c>
      <c r="B21" t="s">
        <v>22</v>
      </c>
      <c r="C21" s="5">
        <v>36002</v>
      </c>
      <c r="D21" s="6">
        <f t="shared" si="0"/>
        <v>1.9647099842597274E-3</v>
      </c>
      <c r="E21" s="11"/>
      <c r="F21" s="12"/>
      <c r="G21" s="13"/>
      <c r="H21" s="11"/>
      <c r="I21" s="12"/>
      <c r="J21" s="13"/>
      <c r="K21" s="11"/>
      <c r="L21" s="12"/>
      <c r="M21" s="13"/>
      <c r="N21" s="11">
        <v>36002</v>
      </c>
      <c r="O21" s="12">
        <f t="shared" si="6"/>
        <v>3.5584276181900666E-2</v>
      </c>
      <c r="P21" s="13"/>
    </row>
    <row r="22" spans="1:16">
      <c r="A22" s="4">
        <f t="shared" si="1"/>
        <v>0</v>
      </c>
      <c r="B22" t="s">
        <v>21</v>
      </c>
      <c r="C22" s="5">
        <v>27197</v>
      </c>
      <c r="D22" s="6">
        <f t="shared" si="0"/>
        <v>1.4842013621996501E-3</v>
      </c>
      <c r="E22" s="14"/>
      <c r="F22" s="15"/>
      <c r="G22" s="16"/>
      <c r="H22" s="14"/>
      <c r="I22" s="15"/>
      <c r="J22" s="16"/>
      <c r="K22" s="14">
        <v>27197</v>
      </c>
      <c r="L22" s="15">
        <f t="shared" si="5"/>
        <v>2.4097591835685914E-2</v>
      </c>
      <c r="M22" s="16"/>
      <c r="N22" s="14"/>
      <c r="O22" s="15"/>
      <c r="P22" s="16"/>
    </row>
    <row r="23" spans="1:16">
      <c r="A23" s="2">
        <f>SUM(A7:A22)</f>
        <v>350</v>
      </c>
      <c r="C23" s="3">
        <v>18324333</v>
      </c>
      <c r="E23" s="3">
        <f t="shared" si="2"/>
        <v>13135215</v>
      </c>
      <c r="G23" s="2">
        <f>SUM(G7:G22)</f>
        <v>249</v>
      </c>
      <c r="H23" s="3">
        <v>3048760</v>
      </c>
      <c r="J23" s="2">
        <f>SUM(J7:J22)</f>
        <v>55</v>
      </c>
      <c r="K23" s="3">
        <v>1128619</v>
      </c>
      <c r="M23" s="2">
        <f>SUM(M7:M22)</f>
        <v>26</v>
      </c>
      <c r="N23" s="3">
        <v>1011739</v>
      </c>
      <c r="P23" s="2">
        <f>SUM(P7:P22)</f>
        <v>20</v>
      </c>
    </row>
    <row r="24" spans="1:16">
      <c r="B24" t="s">
        <v>23</v>
      </c>
    </row>
    <row r="27" spans="1:16">
      <c r="A27" s="7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C28" t="s">
        <v>2</v>
      </c>
      <c r="E28" t="s">
        <v>5</v>
      </c>
      <c r="H28" t="s">
        <v>7</v>
      </c>
      <c r="K28" t="s">
        <v>8</v>
      </c>
      <c r="N28" t="s">
        <v>9</v>
      </c>
    </row>
    <row r="29" spans="1:16">
      <c r="A29" t="s">
        <v>6</v>
      </c>
      <c r="C29" t="s">
        <v>3</v>
      </c>
      <c r="D29" t="s">
        <v>4</v>
      </c>
      <c r="E29" t="s">
        <v>3</v>
      </c>
      <c r="F29" s="18" t="s">
        <v>4</v>
      </c>
      <c r="G29" t="s">
        <v>6</v>
      </c>
      <c r="H29" t="s">
        <v>3</v>
      </c>
      <c r="I29" s="18" t="s">
        <v>4</v>
      </c>
      <c r="J29" t="s">
        <v>6</v>
      </c>
      <c r="K29" t="s">
        <v>3</v>
      </c>
      <c r="L29" s="18" t="s">
        <v>4</v>
      </c>
      <c r="M29" t="s">
        <v>6</v>
      </c>
      <c r="N29" t="s">
        <v>3</v>
      </c>
      <c r="O29" s="18" t="s">
        <v>4</v>
      </c>
      <c r="P29" t="s">
        <v>6</v>
      </c>
    </row>
    <row r="30" spans="1:16">
      <c r="A30" s="4">
        <f>+G30+J30+M30+P30</f>
        <v>140</v>
      </c>
      <c r="B30" t="s">
        <v>10</v>
      </c>
      <c r="C30" s="5">
        <v>6268593</v>
      </c>
      <c r="D30" s="6">
        <f>+C30/C$47</f>
        <v>0.34954366228220829</v>
      </c>
      <c r="E30" s="19">
        <f>+C30-H30-K30-N30</f>
        <v>5035914</v>
      </c>
      <c r="F30" s="12">
        <f t="shared" ref="F30" si="10">+E30/E$47</f>
        <v>0.3885651562211378</v>
      </c>
      <c r="G30" s="10">
        <v>110</v>
      </c>
      <c r="H30" s="8">
        <v>570948</v>
      </c>
      <c r="I30" s="12">
        <f t="shared" ref="I30" si="11">+H30/H$47</f>
        <v>0.19346725920705085</v>
      </c>
      <c r="J30" s="10">
        <v>12</v>
      </c>
      <c r="K30" s="19">
        <v>493124</v>
      </c>
      <c r="L30" s="12">
        <f t="shared" ref="L30:L44" si="12">+K30/K$47</f>
        <v>0.48176588743776722</v>
      </c>
      <c r="M30" s="10">
        <v>14</v>
      </c>
      <c r="N30" s="8">
        <v>168607</v>
      </c>
      <c r="O30" s="12">
        <f t="shared" ref="O30" si="13">+N30/N$47</f>
        <v>0.1688340818400749</v>
      </c>
      <c r="P30" s="10">
        <v>4</v>
      </c>
    </row>
    <row r="31" spans="1:16">
      <c r="A31" s="4">
        <f t="shared" ref="A31:A46" si="14">+G31+J31+M31+P31</f>
        <v>119</v>
      </c>
      <c r="B31" t="s">
        <v>11</v>
      </c>
      <c r="C31" s="5">
        <v>5469813</v>
      </c>
      <c r="D31" s="6">
        <f t="shared" ref="D31:D46" si="15">+C31/C$47</f>
        <v>0.30500280812916591</v>
      </c>
      <c r="E31" s="11">
        <f t="shared" ref="E31:E47" si="16">+C31-H31-K31-N31</f>
        <v>4226751</v>
      </c>
      <c r="F31" s="12">
        <f>+E31/E$47</f>
        <v>0.32613109807332896</v>
      </c>
      <c r="G31" s="13">
        <v>92</v>
      </c>
      <c r="H31" s="20">
        <v>875529</v>
      </c>
      <c r="I31" s="12">
        <f>+H31/H$47</f>
        <v>0.29667534694278641</v>
      </c>
      <c r="J31" s="13">
        <v>18</v>
      </c>
      <c r="K31" s="11">
        <v>177298</v>
      </c>
      <c r="L31" s="12">
        <f t="shared" si="12"/>
        <v>0.1732142996709575</v>
      </c>
      <c r="M31" s="13">
        <v>5</v>
      </c>
      <c r="N31" s="11">
        <v>190235</v>
      </c>
      <c r="O31" s="12">
        <f>+N31/N$47</f>
        <v>0.19049121067836239</v>
      </c>
      <c r="P31" s="13">
        <v>4</v>
      </c>
    </row>
    <row r="32" spans="1:16">
      <c r="A32" s="4">
        <f t="shared" si="14"/>
        <v>42</v>
      </c>
      <c r="B32" t="s">
        <v>36</v>
      </c>
      <c r="C32" s="5">
        <v>1938487</v>
      </c>
      <c r="D32" s="6">
        <f t="shared" si="15"/>
        <v>0.10809217399605479</v>
      </c>
      <c r="E32" s="11">
        <f t="shared" si="16"/>
        <v>1337248</v>
      </c>
      <c r="F32" s="12">
        <f t="shared" ref="F32:F44" si="17">+E32/E$47</f>
        <v>0.1031804709187655</v>
      </c>
      <c r="G32" s="13">
        <v>29</v>
      </c>
      <c r="H32" s="11">
        <v>512792</v>
      </c>
      <c r="I32" s="12">
        <f t="shared" ref="I32:I44" si="18">+H32/H$47</f>
        <v>0.17376094282369325</v>
      </c>
      <c r="J32" s="13">
        <v>11</v>
      </c>
      <c r="K32" s="11">
        <v>42594</v>
      </c>
      <c r="L32" s="12">
        <f t="shared" si="12"/>
        <v>4.1612933480269176E-2</v>
      </c>
      <c r="M32" s="13">
        <v>1</v>
      </c>
      <c r="N32" s="11">
        <v>45853</v>
      </c>
      <c r="O32" s="12">
        <f t="shared" ref="O32:O44" si="19">+N32/N$47</f>
        <v>4.5914755345940292E-2</v>
      </c>
      <c r="P32" s="13">
        <v>1</v>
      </c>
    </row>
    <row r="33" spans="1:16">
      <c r="A33" s="4">
        <f t="shared" si="14"/>
        <v>24</v>
      </c>
      <c r="B33" t="s">
        <v>35</v>
      </c>
      <c r="C33" s="5">
        <f>1094438+28248</f>
        <v>1122686</v>
      </c>
      <c r="D33" s="6">
        <f t="shared" si="15"/>
        <v>6.2602210102484443E-2</v>
      </c>
      <c r="E33" s="11">
        <f t="shared" si="16"/>
        <v>835683</v>
      </c>
      <c r="F33" s="12">
        <f t="shared" si="17"/>
        <v>6.4480309919182313E-2</v>
      </c>
      <c r="G33" s="13">
        <v>18</v>
      </c>
      <c r="H33" s="11">
        <v>107629</v>
      </c>
      <c r="I33" s="12">
        <f t="shared" si="18"/>
        <v>3.6470374957431634E-2</v>
      </c>
      <c r="J33" s="13">
        <v>2</v>
      </c>
      <c r="K33" s="11">
        <v>145266</v>
      </c>
      <c r="L33" s="12">
        <f t="shared" si="12"/>
        <v>0.14192009191305774</v>
      </c>
      <c r="M33" s="13">
        <v>4</v>
      </c>
      <c r="N33" s="11">
        <v>34108</v>
      </c>
      <c r="O33" s="12">
        <f t="shared" si="19"/>
        <v>3.4153937045325961E-2</v>
      </c>
      <c r="P33" s="13"/>
    </row>
    <row r="34" spans="1:16">
      <c r="A34" s="4">
        <f t="shared" si="14"/>
        <v>10</v>
      </c>
      <c r="B34" t="s">
        <v>25</v>
      </c>
      <c r="C34" s="5">
        <v>483353</v>
      </c>
      <c r="D34" s="6">
        <f t="shared" si="15"/>
        <v>2.6952296599108E-2</v>
      </c>
      <c r="E34" s="11"/>
      <c r="F34" s="12"/>
      <c r="G34" s="13"/>
      <c r="H34" s="11">
        <v>483353</v>
      </c>
      <c r="I34" s="12">
        <f t="shared" si="18"/>
        <v>0.16378545881499829</v>
      </c>
      <c r="J34" s="13">
        <v>10</v>
      </c>
      <c r="K34" s="11"/>
      <c r="L34" s="12"/>
      <c r="M34" s="13"/>
      <c r="N34" s="11"/>
      <c r="O34" s="12"/>
      <c r="P34" s="13"/>
    </row>
    <row r="35" spans="1:16">
      <c r="A35" s="4">
        <f t="shared" si="14"/>
        <v>0</v>
      </c>
      <c r="B35" t="s">
        <v>39</v>
      </c>
      <c r="C35" s="5">
        <v>378964</v>
      </c>
      <c r="D35" s="6">
        <f t="shared" si="15"/>
        <v>2.1131450779004919E-2</v>
      </c>
      <c r="E35" s="11">
        <f t="shared" si="16"/>
        <v>332850</v>
      </c>
      <c r="F35" s="12">
        <f t="shared" si="17"/>
        <v>2.5682311542295146E-2</v>
      </c>
      <c r="G35" s="13"/>
      <c r="H35" s="11">
        <v>27301</v>
      </c>
      <c r="I35" s="12">
        <f t="shared" si="18"/>
        <v>9.2510169816019932E-3</v>
      </c>
      <c r="J35" s="13"/>
      <c r="K35" s="11">
        <v>7834</v>
      </c>
      <c r="L35" s="12">
        <f t="shared" si="12"/>
        <v>7.6535596770537801E-3</v>
      </c>
      <c r="M35" s="13"/>
      <c r="N35" s="11">
        <v>10979</v>
      </c>
      <c r="O35" s="12">
        <f t="shared" si="19"/>
        <v>1.0993786643034882E-2</v>
      </c>
      <c r="P35" s="13"/>
    </row>
    <row r="36" spans="1:16">
      <c r="A36" s="4">
        <f t="shared" si="14"/>
        <v>0</v>
      </c>
      <c r="B36" t="s">
        <v>26</v>
      </c>
      <c r="C36" s="5">
        <v>325842</v>
      </c>
      <c r="D36" s="6">
        <f t="shared" si="15"/>
        <v>1.8169309445574041E-2</v>
      </c>
      <c r="E36" s="11">
        <f t="shared" si="16"/>
        <v>325842</v>
      </c>
      <c r="F36" s="12">
        <f t="shared" si="17"/>
        <v>2.5141582567416356E-2</v>
      </c>
      <c r="G36" s="13"/>
      <c r="H36" s="11"/>
      <c r="I36" s="12"/>
      <c r="J36" s="13"/>
      <c r="K36" s="11"/>
      <c r="L36" s="12"/>
      <c r="M36" s="13"/>
      <c r="N36" s="11"/>
      <c r="O36" s="12"/>
      <c r="P36" s="13"/>
    </row>
    <row r="37" spans="1:16">
      <c r="A37" s="4">
        <f t="shared" si="14"/>
        <v>6</v>
      </c>
      <c r="B37" t="s">
        <v>15</v>
      </c>
      <c r="C37" s="5">
        <v>296597</v>
      </c>
      <c r="D37" s="6">
        <f t="shared" si="15"/>
        <v>1.6538575977402926E-2</v>
      </c>
      <c r="E37" s="11">
        <f t="shared" si="16"/>
        <v>21305</v>
      </c>
      <c r="F37" s="12">
        <f t="shared" si="17"/>
        <v>1.6438685516256513E-3</v>
      </c>
      <c r="G37" s="13"/>
      <c r="H37" s="11"/>
      <c r="I37" s="12"/>
      <c r="J37" s="13"/>
      <c r="K37" s="11"/>
      <c r="L37" s="12"/>
      <c r="M37" s="13"/>
      <c r="N37" s="20">
        <v>275292</v>
      </c>
      <c r="O37" s="12">
        <f t="shared" si="19"/>
        <v>0.27566276642083604</v>
      </c>
      <c r="P37" s="13">
        <v>6</v>
      </c>
    </row>
    <row r="38" spans="1:16">
      <c r="A38" s="4">
        <f t="shared" ref="A38" si="20">+G38+J38+M38+P38</f>
        <v>0</v>
      </c>
      <c r="B38" t="s">
        <v>33</v>
      </c>
      <c r="C38" s="5">
        <v>192798</v>
      </c>
      <c r="D38" s="6">
        <f t="shared" si="15"/>
        <v>1.0750629208290471E-2</v>
      </c>
      <c r="E38" s="11">
        <f t="shared" ref="E38" si="21">+C38-H38-K38-N38</f>
        <v>144848</v>
      </c>
      <c r="F38" s="12">
        <f t="shared" si="17"/>
        <v>1.1176300021866809E-2</v>
      </c>
      <c r="G38" s="13"/>
      <c r="H38" s="11">
        <v>40345</v>
      </c>
      <c r="I38" s="12">
        <f t="shared" si="18"/>
        <v>1.367101132276226E-2</v>
      </c>
      <c r="J38" s="13"/>
      <c r="K38" s="11">
        <v>6828</v>
      </c>
      <c r="L38" s="12">
        <f t="shared" si="12"/>
        <v>6.6707308494923677E-3</v>
      </c>
      <c r="M38" s="13"/>
      <c r="N38" s="11">
        <v>777</v>
      </c>
      <c r="O38" s="12">
        <f t="shared" si="19"/>
        <v>7.7804647250551996E-4</v>
      </c>
      <c r="P38" s="13"/>
    </row>
    <row r="39" spans="1:16">
      <c r="A39" s="4">
        <f t="shared" si="14"/>
        <v>3</v>
      </c>
      <c r="B39" t="s">
        <v>27</v>
      </c>
      <c r="C39" s="5">
        <v>172110</v>
      </c>
      <c r="D39" s="6">
        <f t="shared" si="15"/>
        <v>9.5970435016902306E-3</v>
      </c>
      <c r="E39" s="11">
        <f t="shared" si="16"/>
        <v>22425</v>
      </c>
      <c r="F39" s="12">
        <f t="shared" si="17"/>
        <v>1.7302864243231744E-3</v>
      </c>
      <c r="G39" s="13"/>
      <c r="H39" s="11"/>
      <c r="I39" s="12"/>
      <c r="J39" s="13"/>
      <c r="K39" s="11"/>
      <c r="L39" s="12"/>
      <c r="M39" s="13"/>
      <c r="N39" s="11">
        <v>149685</v>
      </c>
      <c r="O39" s="12">
        <f t="shared" si="19"/>
        <v>0.149886597473602</v>
      </c>
      <c r="P39" s="13">
        <v>3</v>
      </c>
    </row>
    <row r="40" spans="1:16">
      <c r="A40" s="4">
        <f t="shared" si="14"/>
        <v>0</v>
      </c>
      <c r="B40" t="s">
        <v>28</v>
      </c>
      <c r="C40" s="5">
        <v>138487</v>
      </c>
      <c r="D40" s="6">
        <f t="shared" si="15"/>
        <v>7.7221879229479691E-3</v>
      </c>
      <c r="E40" s="11">
        <f t="shared" si="16"/>
        <v>115337</v>
      </c>
      <c r="F40" s="12">
        <f t="shared" si="17"/>
        <v>8.8992662351019824E-3</v>
      </c>
      <c r="G40" s="13"/>
      <c r="H40" s="11">
        <v>13028</v>
      </c>
      <c r="I40" s="12">
        <f t="shared" si="18"/>
        <v>4.4145726983008228E-3</v>
      </c>
      <c r="J40" s="13"/>
      <c r="K40" s="11">
        <v>3207</v>
      </c>
      <c r="L40" s="12">
        <f t="shared" si="12"/>
        <v>3.1331332504865297E-3</v>
      </c>
      <c r="M40" s="13"/>
      <c r="N40" s="11">
        <v>6915</v>
      </c>
      <c r="O40" s="12">
        <f t="shared" si="19"/>
        <v>6.9243132012556888E-3</v>
      </c>
      <c r="P40" s="13"/>
    </row>
    <row r="41" spans="1:16">
      <c r="A41" s="4">
        <f t="shared" si="14"/>
        <v>0</v>
      </c>
      <c r="B41" t="s">
        <v>29</v>
      </c>
      <c r="C41" s="5">
        <v>133869</v>
      </c>
      <c r="D41" s="6">
        <f t="shared" si="15"/>
        <v>7.4646831475670763E-3</v>
      </c>
      <c r="E41" s="11">
        <f t="shared" si="16"/>
        <v>86819</v>
      </c>
      <c r="F41" s="12">
        <f t="shared" si="17"/>
        <v>6.6988511515413017E-3</v>
      </c>
      <c r="G41" s="13"/>
      <c r="H41" s="11">
        <v>29868</v>
      </c>
      <c r="I41" s="12">
        <f t="shared" si="18"/>
        <v>1.0120851807863753E-2</v>
      </c>
      <c r="J41" s="13"/>
      <c r="K41" s="11">
        <v>12368</v>
      </c>
      <c r="L41" s="12">
        <f t="shared" si="12"/>
        <v>1.2083128170257997E-2</v>
      </c>
      <c r="M41" s="13"/>
      <c r="N41" s="11">
        <v>4814</v>
      </c>
      <c r="O41" s="12">
        <f t="shared" si="19"/>
        <v>4.8204835503752545E-3</v>
      </c>
      <c r="P41" s="13"/>
    </row>
    <row r="42" spans="1:16">
      <c r="A42" s="4">
        <f t="shared" si="14"/>
        <v>2</v>
      </c>
      <c r="B42" t="s">
        <v>37</v>
      </c>
      <c r="C42" s="5">
        <v>123452</v>
      </c>
      <c r="D42" s="6">
        <f t="shared" si="15"/>
        <v>6.8838197337206574E-3</v>
      </c>
      <c r="E42" s="11"/>
      <c r="F42" s="12"/>
      <c r="G42" s="13"/>
      <c r="H42" s="11">
        <v>123452</v>
      </c>
      <c r="I42" s="12">
        <f t="shared" si="18"/>
        <v>4.1832040892741271E-2</v>
      </c>
      <c r="J42" s="13">
        <v>2</v>
      </c>
      <c r="K42" s="11"/>
      <c r="L42" s="12"/>
      <c r="M42" s="13"/>
      <c r="N42" s="11"/>
      <c r="O42" s="12"/>
      <c r="P42" s="13"/>
    </row>
    <row r="43" spans="1:16">
      <c r="A43" s="4">
        <f t="shared" si="14"/>
        <v>2</v>
      </c>
      <c r="B43" t="s">
        <v>30</v>
      </c>
      <c r="C43" s="5">
        <v>85677</v>
      </c>
      <c r="D43" s="6">
        <f t="shared" si="15"/>
        <v>4.7774440537697626E-3</v>
      </c>
      <c r="E43" s="11">
        <f t="shared" si="16"/>
        <v>3029</v>
      </c>
      <c r="F43" s="12">
        <f t="shared" si="17"/>
        <v>2.3371405035785487E-4</v>
      </c>
      <c r="G43" s="13"/>
      <c r="H43" s="11">
        <v>2550</v>
      </c>
      <c r="I43" s="12">
        <f t="shared" si="18"/>
        <v>8.6407433072360296E-4</v>
      </c>
      <c r="J43" s="13"/>
      <c r="K43" s="11"/>
      <c r="L43" s="12"/>
      <c r="M43" s="13"/>
      <c r="N43" s="11">
        <v>80098</v>
      </c>
      <c r="O43" s="12">
        <f t="shared" si="19"/>
        <v>8.0205876904436466E-2</v>
      </c>
      <c r="P43" s="13">
        <v>2</v>
      </c>
    </row>
    <row r="44" spans="1:16">
      <c r="A44" s="4">
        <f t="shared" si="14"/>
        <v>0</v>
      </c>
      <c r="B44" t="s">
        <v>31</v>
      </c>
      <c r="C44" s="5">
        <v>84856</v>
      </c>
      <c r="D44" s="6">
        <f t="shared" si="15"/>
        <v>4.7316641878997513E-3</v>
      </c>
      <c r="E44" s="11">
        <f t="shared" si="16"/>
        <v>53703</v>
      </c>
      <c r="F44" s="12">
        <f t="shared" si="17"/>
        <v>4.1436598370313237E-3</v>
      </c>
      <c r="G44" s="13"/>
      <c r="H44" s="11">
        <v>13028</v>
      </c>
      <c r="I44" s="12">
        <f t="shared" si="18"/>
        <v>4.4145726983008228E-3</v>
      </c>
      <c r="J44" s="13"/>
      <c r="K44" s="11">
        <v>4833</v>
      </c>
      <c r="L44" s="12">
        <f t="shared" si="12"/>
        <v>4.7216816338014958E-3</v>
      </c>
      <c r="M44" s="13"/>
      <c r="N44" s="11">
        <v>13292</v>
      </c>
      <c r="O44" s="12">
        <f t="shared" si="19"/>
        <v>1.3309901817945136E-2</v>
      </c>
      <c r="P44" s="13"/>
    </row>
    <row r="45" spans="1:16">
      <c r="A45" s="4">
        <f t="shared" si="14"/>
        <v>1</v>
      </c>
      <c r="B45" t="s">
        <v>32</v>
      </c>
      <c r="C45" s="5">
        <v>60889</v>
      </c>
      <c r="D45" s="6">
        <f t="shared" si="15"/>
        <v>3.3952378233363342E-3</v>
      </c>
      <c r="E45" s="11"/>
      <c r="F45" s="12"/>
      <c r="G45" s="13"/>
      <c r="H45" s="11"/>
      <c r="I45" s="12"/>
      <c r="J45" s="13"/>
      <c r="K45" s="11">
        <v>60889</v>
      </c>
      <c r="L45" s="12">
        <f>+K45/K$47</f>
        <v>5.9486545210126071E-2</v>
      </c>
      <c r="M45" s="13">
        <v>1</v>
      </c>
      <c r="N45" s="11"/>
      <c r="O45" s="12"/>
      <c r="P45" s="13"/>
    </row>
    <row r="46" spans="1:16">
      <c r="A46" s="4">
        <f t="shared" si="14"/>
        <v>1</v>
      </c>
      <c r="B46" t="s">
        <v>38</v>
      </c>
      <c r="C46" s="5">
        <v>55555</v>
      </c>
      <c r="D46" s="6">
        <f t="shared" si="15"/>
        <v>3.0978080979396942E-3</v>
      </c>
      <c r="E46" s="14"/>
      <c r="F46" s="15"/>
      <c r="G46" s="16"/>
      <c r="H46" s="14"/>
      <c r="I46" s="15"/>
      <c r="J46" s="16"/>
      <c r="K46" s="14">
        <v>55555</v>
      </c>
      <c r="L46" s="15">
        <f t="shared" ref="L46" si="22">+K46/K$47</f>
        <v>5.4275403096594683E-2</v>
      </c>
      <c r="M46" s="16">
        <v>1</v>
      </c>
      <c r="N46" s="14"/>
      <c r="O46" s="15"/>
      <c r="P46" s="16"/>
    </row>
    <row r="47" spans="1:16">
      <c r="A47" s="2">
        <f>SUM(A30:A46)</f>
        <v>350</v>
      </c>
      <c r="C47" s="3">
        <v>17933648</v>
      </c>
      <c r="D47" s="17"/>
      <c r="E47" s="3">
        <f t="shared" si="16"/>
        <v>12960282</v>
      </c>
      <c r="G47" s="2">
        <f>SUM(G30:G46)</f>
        <v>249</v>
      </c>
      <c r="H47" s="3">
        <v>2951135</v>
      </c>
      <c r="J47" s="2">
        <f>SUM(J30:J46)</f>
        <v>55</v>
      </c>
      <c r="K47" s="3">
        <v>1023576</v>
      </c>
      <c r="M47" s="2">
        <f>SUM(M30:M46)</f>
        <v>26</v>
      </c>
      <c r="N47" s="3">
        <v>998655</v>
      </c>
      <c r="P47" s="2">
        <f>SUM(P30:P46)</f>
        <v>20</v>
      </c>
    </row>
    <row r="48" spans="1:16">
      <c r="B48" t="s">
        <v>34</v>
      </c>
    </row>
    <row r="51" spans="1:16">
      <c r="A51" s="7" t="s">
        <v>40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C52" t="s">
        <v>2</v>
      </c>
      <c r="E52" t="s">
        <v>5</v>
      </c>
      <c r="H52" t="s">
        <v>7</v>
      </c>
      <c r="K52" t="s">
        <v>8</v>
      </c>
      <c r="N52" t="s">
        <v>9</v>
      </c>
    </row>
    <row r="53" spans="1:16">
      <c r="A53" t="s">
        <v>6</v>
      </c>
      <c r="C53" t="s">
        <v>3</v>
      </c>
      <c r="D53" t="s">
        <v>4</v>
      </c>
      <c r="E53" t="s">
        <v>3</v>
      </c>
      <c r="F53" s="18" t="s">
        <v>4</v>
      </c>
      <c r="G53" t="s">
        <v>6</v>
      </c>
      <c r="H53" t="s">
        <v>3</v>
      </c>
      <c r="I53" t="s">
        <v>4</v>
      </c>
      <c r="J53" t="s">
        <v>6</v>
      </c>
      <c r="K53" t="s">
        <v>3</v>
      </c>
      <c r="L53" s="18" t="s">
        <v>4</v>
      </c>
      <c r="M53" t="s">
        <v>6</v>
      </c>
      <c r="N53" t="s">
        <v>3</v>
      </c>
      <c r="O53" s="18" t="s">
        <v>4</v>
      </c>
      <c r="P53" t="s">
        <v>6</v>
      </c>
    </row>
    <row r="54" spans="1:16">
      <c r="A54" s="4">
        <f>+G54+J54+M54+P54</f>
        <v>180</v>
      </c>
      <c r="B54" t="s">
        <v>11</v>
      </c>
      <c r="C54" s="5">
        <v>10127392</v>
      </c>
      <c r="D54" s="6">
        <f>+C54/C$70</f>
        <v>0.48111039039454467</v>
      </c>
      <c r="E54" s="19">
        <f>+C54-H54-K54-N54</f>
        <v>7776702</v>
      </c>
      <c r="F54" s="12">
        <f t="shared" ref="F54" si="23">+E54/E$70</f>
        <v>0.51439429883491872</v>
      </c>
      <c r="G54" s="10">
        <v>135</v>
      </c>
      <c r="H54" s="19">
        <v>1575601</v>
      </c>
      <c r="I54" s="9">
        <f>+H54/H$70</f>
        <v>0.45837345601613322</v>
      </c>
      <c r="J54" s="10">
        <v>28</v>
      </c>
      <c r="K54" s="8">
        <v>426469</v>
      </c>
      <c r="L54" s="12">
        <f t="shared" ref="L54:L69" si="24">+K54/K$70</f>
        <v>0.3283030923549472</v>
      </c>
      <c r="M54" s="10">
        <v>10</v>
      </c>
      <c r="N54" s="19">
        <v>348620</v>
      </c>
      <c r="O54" s="12">
        <f t="shared" ref="O54:O66" si="25">+N54/N$70</f>
        <v>0.2916148395499385</v>
      </c>
      <c r="P54" s="10">
        <v>7</v>
      </c>
    </row>
    <row r="55" spans="1:16">
      <c r="A55" s="4">
        <f t="shared" ref="A55:A69" si="26">+G55+J55+M55+P55</f>
        <v>96</v>
      </c>
      <c r="B55" t="s">
        <v>41</v>
      </c>
      <c r="C55" s="5">
        <v>5408959</v>
      </c>
      <c r="D55" s="6">
        <f t="shared" ref="D55:D69" si="27">+C55/C$70</f>
        <v>0.25695720834328184</v>
      </c>
      <c r="E55" s="11">
        <f t="shared" ref="E55:E70" si="28">+C55-H55-K55-N55</f>
        <v>4416446</v>
      </c>
      <c r="F55" s="12">
        <f>+E55/E$70</f>
        <v>0.29212828825281995</v>
      </c>
      <c r="G55" s="13">
        <v>76</v>
      </c>
      <c r="H55" s="11">
        <v>504075</v>
      </c>
      <c r="I55" s="12">
        <f>+H55/H$70</f>
        <v>0.14664537521957169</v>
      </c>
      <c r="J55" s="13">
        <v>9</v>
      </c>
      <c r="K55" s="20">
        <v>488438</v>
      </c>
      <c r="L55" s="12">
        <f t="shared" si="24"/>
        <v>0.37600788292622844</v>
      </c>
      <c r="M55" s="13">
        <v>11</v>
      </c>
      <c r="N55" s="11"/>
      <c r="O55" s="12"/>
      <c r="P55" s="13"/>
    </row>
    <row r="56" spans="1:16">
      <c r="A56" s="4">
        <f t="shared" si="26"/>
        <v>24</v>
      </c>
      <c r="B56" t="s">
        <v>10</v>
      </c>
      <c r="C56" s="5">
        <v>1425093</v>
      </c>
      <c r="D56" s="6">
        <f t="shared" si="27"/>
        <v>6.7700257833263763E-2</v>
      </c>
      <c r="E56" s="11">
        <f t="shared" si="28"/>
        <v>1124745</v>
      </c>
      <c r="F56" s="12">
        <f t="shared" ref="F56:F67" si="29">+E56/E$70</f>
        <v>7.4396886449176095E-2</v>
      </c>
      <c r="G56" s="13">
        <v>19</v>
      </c>
      <c r="H56" s="11">
        <v>70235</v>
      </c>
      <c r="I56" s="12">
        <f t="shared" ref="I56:I68" si="30">+H56/H$70</f>
        <v>2.0432748953125263E-2</v>
      </c>
      <c r="J56" s="13"/>
      <c r="K56" s="11">
        <v>230113</v>
      </c>
      <c r="L56" s="12">
        <f t="shared" si="24"/>
        <v>0.17714490265663851</v>
      </c>
      <c r="M56" s="13">
        <v>5</v>
      </c>
      <c r="N56" s="11"/>
      <c r="O56" s="12"/>
      <c r="P56" s="13"/>
    </row>
    <row r="57" spans="1:16">
      <c r="A57" s="4">
        <f t="shared" si="26"/>
        <v>2</v>
      </c>
      <c r="B57" t="s">
        <v>42</v>
      </c>
      <c r="C57" s="5">
        <v>139148</v>
      </c>
      <c r="D57" s="6">
        <f t="shared" si="27"/>
        <v>6.6103443613735992E-3</v>
      </c>
      <c r="E57" s="11"/>
      <c r="F57" s="12"/>
      <c r="G57" s="13"/>
      <c r="H57" s="11"/>
      <c r="I57" s="12"/>
      <c r="J57" s="13"/>
      <c r="K57" s="11"/>
      <c r="L57" s="12"/>
      <c r="M57" s="13"/>
      <c r="N57" s="11">
        <v>139148</v>
      </c>
      <c r="O57" s="12">
        <f t="shared" si="25"/>
        <v>0.11639499080286513</v>
      </c>
      <c r="P57" s="13">
        <v>2</v>
      </c>
    </row>
    <row r="58" spans="1:16">
      <c r="A58" s="4">
        <f t="shared" si="26"/>
        <v>13</v>
      </c>
      <c r="B58" t="s">
        <v>36</v>
      </c>
      <c r="C58" s="5">
        <v>865272</v>
      </c>
      <c r="D58" s="6">
        <f t="shared" si="27"/>
        <v>4.110548399010016E-2</v>
      </c>
      <c r="E58" s="11">
        <f t="shared" si="28"/>
        <v>665657</v>
      </c>
      <c r="F58" s="12">
        <f t="shared" si="29"/>
        <v>4.403025418481453E-2</v>
      </c>
      <c r="G58" s="13">
        <v>11</v>
      </c>
      <c r="H58" s="11">
        <v>158553</v>
      </c>
      <c r="I58" s="12">
        <f t="shared" si="30"/>
        <v>4.612619982579725E-2</v>
      </c>
      <c r="J58" s="13">
        <v>2</v>
      </c>
      <c r="K58" s="11">
        <v>20108</v>
      </c>
      <c r="L58" s="12">
        <f t="shared" si="24"/>
        <v>1.5479480527478618E-2</v>
      </c>
      <c r="M58" s="13"/>
      <c r="N58" s="11">
        <v>20954</v>
      </c>
      <c r="O58" s="12">
        <f t="shared" si="25"/>
        <v>1.7527672961761834E-2</v>
      </c>
      <c r="P58" s="13"/>
    </row>
    <row r="59" spans="1:16">
      <c r="A59" s="4">
        <f t="shared" si="26"/>
        <v>14</v>
      </c>
      <c r="B59" t="s">
        <v>25</v>
      </c>
      <c r="C59" s="5">
        <v>772726</v>
      </c>
      <c r="D59" s="6">
        <f t="shared" si="27"/>
        <v>3.6709007366162477E-2</v>
      </c>
      <c r="E59" s="11"/>
      <c r="F59" s="12"/>
      <c r="G59" s="13"/>
      <c r="H59" s="11">
        <v>772726</v>
      </c>
      <c r="I59" s="12">
        <f t="shared" si="30"/>
        <v>0.22480125816975399</v>
      </c>
      <c r="J59" s="13">
        <v>14</v>
      </c>
      <c r="K59" s="11"/>
      <c r="L59" s="12"/>
      <c r="M59" s="13"/>
      <c r="N59" s="11"/>
      <c r="O59" s="12"/>
      <c r="P59" s="13"/>
    </row>
    <row r="60" spans="1:16">
      <c r="A60" s="4">
        <f t="shared" si="26"/>
        <v>8</v>
      </c>
      <c r="B60" t="s">
        <v>43</v>
      </c>
      <c r="C60" s="5">
        <v>604309</v>
      </c>
      <c r="D60" s="6">
        <f t="shared" si="27"/>
        <v>2.870821420844941E-2</v>
      </c>
      <c r="E60" s="11">
        <f t="shared" si="28"/>
        <v>480500</v>
      </c>
      <c r="F60" s="12">
        <f t="shared" si="29"/>
        <v>3.1782940967800807E-2</v>
      </c>
      <c r="G60" s="13">
        <v>8</v>
      </c>
      <c r="H60" s="11">
        <v>68395</v>
      </c>
      <c r="I60" s="12">
        <f t="shared" si="30"/>
        <v>1.989745660495483E-2</v>
      </c>
      <c r="J60" s="13"/>
      <c r="K60" s="11">
        <v>33588</v>
      </c>
      <c r="L60" s="12">
        <f t="shared" si="24"/>
        <v>2.585661388288004E-2</v>
      </c>
      <c r="M60" s="13"/>
      <c r="N60" s="11">
        <v>21826</v>
      </c>
      <c r="O60" s="12">
        <f t="shared" si="25"/>
        <v>1.8257086478162345E-2</v>
      </c>
      <c r="P60" s="13"/>
    </row>
    <row r="61" spans="1:16">
      <c r="A61" s="4">
        <f t="shared" si="26"/>
        <v>7</v>
      </c>
      <c r="B61" t="s">
        <v>15</v>
      </c>
      <c r="C61" s="5">
        <v>395656</v>
      </c>
      <c r="D61" s="6">
        <f t="shared" si="27"/>
        <v>1.8795975570210371E-2</v>
      </c>
      <c r="E61" s="11">
        <f t="shared" si="28"/>
        <v>16363</v>
      </c>
      <c r="F61" s="12">
        <f t="shared" si="29"/>
        <v>1.082339777432101E-3</v>
      </c>
      <c r="G61" s="13"/>
      <c r="H61" s="11"/>
      <c r="I61" s="12"/>
      <c r="J61" s="13"/>
      <c r="K61" s="11"/>
      <c r="L61" s="12"/>
      <c r="M61" s="13"/>
      <c r="N61" s="11">
        <v>379293</v>
      </c>
      <c r="O61" s="12">
        <f t="shared" si="25"/>
        <v>0.31727229458268263</v>
      </c>
      <c r="P61" s="13">
        <v>7</v>
      </c>
    </row>
    <row r="62" spans="1:16">
      <c r="A62" s="4">
        <f t="shared" si="26"/>
        <v>3</v>
      </c>
      <c r="B62" t="s">
        <v>27</v>
      </c>
      <c r="C62" s="5">
        <v>210608</v>
      </c>
      <c r="D62" s="6">
        <f t="shared" si="27"/>
        <v>1.0005112579844273E-2</v>
      </c>
      <c r="E62" s="11">
        <f t="shared" si="28"/>
        <v>34751</v>
      </c>
      <c r="F62" s="12">
        <f t="shared" si="29"/>
        <v>2.2986243112841742E-3</v>
      </c>
      <c r="G62" s="13"/>
      <c r="H62" s="11"/>
      <c r="I62" s="12"/>
      <c r="J62" s="13"/>
      <c r="K62" s="11"/>
      <c r="L62" s="12"/>
      <c r="M62" s="13"/>
      <c r="N62" s="11">
        <v>175857</v>
      </c>
      <c r="O62" s="12">
        <f t="shared" si="25"/>
        <v>0.14710145957986787</v>
      </c>
      <c r="P62" s="13">
        <v>3</v>
      </c>
    </row>
    <row r="63" spans="1:16">
      <c r="A63" s="4">
        <f t="shared" si="26"/>
        <v>2</v>
      </c>
      <c r="B63" t="s">
        <v>44</v>
      </c>
      <c r="C63" s="5">
        <v>138116</v>
      </c>
      <c r="D63" s="6">
        <f t="shared" si="27"/>
        <v>6.5613183216106305E-3</v>
      </c>
      <c r="E63" s="11"/>
      <c r="F63" s="12"/>
      <c r="G63" s="13"/>
      <c r="H63" s="11">
        <v>138116</v>
      </c>
      <c r="I63" s="12">
        <f t="shared" si="30"/>
        <v>4.0180672804297698E-2</v>
      </c>
      <c r="J63" s="13">
        <v>2</v>
      </c>
      <c r="K63" s="11"/>
      <c r="L63" s="12"/>
      <c r="M63" s="13"/>
      <c r="N63" s="11"/>
      <c r="O63" s="12"/>
      <c r="P63" s="13"/>
    </row>
    <row r="64" spans="1:16">
      <c r="A64" s="4">
        <f t="shared" si="26"/>
        <v>0</v>
      </c>
      <c r="B64" t="s">
        <v>45</v>
      </c>
      <c r="C64" s="5">
        <v>108746</v>
      </c>
      <c r="D64" s="6">
        <f t="shared" si="27"/>
        <v>5.1660714341703329E-3</v>
      </c>
      <c r="E64" s="11">
        <f t="shared" si="28"/>
        <v>92038</v>
      </c>
      <c r="F64" s="12">
        <f t="shared" si="29"/>
        <v>6.0879049340155054E-3</v>
      </c>
      <c r="G64" s="13"/>
      <c r="H64" s="11">
        <v>12125</v>
      </c>
      <c r="I64" s="12">
        <f t="shared" si="30"/>
        <v>3.5274020225905009E-3</v>
      </c>
      <c r="J64" s="13"/>
      <c r="K64" s="11">
        <v>2545</v>
      </c>
      <c r="L64" s="12">
        <f t="shared" si="24"/>
        <v>1.9591843018914403E-3</v>
      </c>
      <c r="M64" s="13"/>
      <c r="N64" s="11">
        <v>2038</v>
      </c>
      <c r="O64" s="12">
        <f t="shared" si="25"/>
        <v>1.7047531495690857E-3</v>
      </c>
      <c r="P64" s="13"/>
    </row>
    <row r="65" spans="1:16">
      <c r="A65" s="4">
        <f t="shared" si="26"/>
        <v>0</v>
      </c>
      <c r="B65" t="s">
        <v>46</v>
      </c>
      <c r="C65" s="5">
        <v>103133</v>
      </c>
      <c r="D65" s="6">
        <f t="shared" si="27"/>
        <v>4.8994210841804657E-3</v>
      </c>
      <c r="E65" s="11">
        <f t="shared" si="28"/>
        <v>64731</v>
      </c>
      <c r="F65" s="12">
        <f t="shared" si="29"/>
        <v>4.2816681618870218E-3</v>
      </c>
      <c r="G65" s="13"/>
      <c r="H65" s="11">
        <v>20110</v>
      </c>
      <c r="I65" s="12">
        <f t="shared" si="30"/>
        <v>5.8503962617975237E-3</v>
      </c>
      <c r="J65" s="13"/>
      <c r="K65" s="11">
        <v>12481</v>
      </c>
      <c r="L65" s="12">
        <f t="shared" si="24"/>
        <v>9.608086157920262E-3</v>
      </c>
      <c r="M65" s="13"/>
      <c r="N65" s="11">
        <v>5811</v>
      </c>
      <c r="O65" s="12">
        <f t="shared" si="25"/>
        <v>4.8608049814258866E-3</v>
      </c>
      <c r="P65" s="13"/>
    </row>
    <row r="66" spans="1:16">
      <c r="A66" s="4">
        <f t="shared" si="26"/>
        <v>1</v>
      </c>
      <c r="B66" t="s">
        <v>30</v>
      </c>
      <c r="C66" s="5">
        <v>100326</v>
      </c>
      <c r="D66" s="6">
        <f t="shared" si="27"/>
        <v>4.7660721562592908E-3</v>
      </c>
      <c r="E66" s="11">
        <f t="shared" si="28"/>
        <v>8399</v>
      </c>
      <c r="F66" s="12">
        <f t="shared" si="29"/>
        <v>5.5555654773893647E-4</v>
      </c>
      <c r="G66" s="13"/>
      <c r="H66" s="11"/>
      <c r="I66" s="12"/>
      <c r="J66" s="13"/>
      <c r="K66" s="11"/>
      <c r="L66" s="12"/>
      <c r="M66" s="13"/>
      <c r="N66" s="11">
        <v>91927</v>
      </c>
      <c r="O66" s="12">
        <f t="shared" si="25"/>
        <v>7.6895408626318607E-2</v>
      </c>
      <c r="P66" s="13">
        <v>1</v>
      </c>
    </row>
    <row r="67" spans="1:16">
      <c r="A67" s="4">
        <f t="shared" si="26"/>
        <v>0</v>
      </c>
      <c r="B67" t="s">
        <v>26</v>
      </c>
      <c r="C67" s="5">
        <v>84474</v>
      </c>
      <c r="D67" s="6">
        <f t="shared" si="27"/>
        <v>4.0130093826909003E-3</v>
      </c>
      <c r="E67" s="11">
        <f t="shared" si="28"/>
        <v>77068</v>
      </c>
      <c r="F67" s="12">
        <f t="shared" si="29"/>
        <v>5.0977059198886003E-3</v>
      </c>
      <c r="G67" s="13"/>
      <c r="H67" s="11">
        <v>7406</v>
      </c>
      <c r="I67" s="12">
        <f t="shared" si="30"/>
        <v>2.1545517013859998E-3</v>
      </c>
      <c r="J67" s="13"/>
      <c r="K67" s="11"/>
      <c r="L67" s="12"/>
      <c r="M67" s="13"/>
      <c r="N67" s="11"/>
      <c r="O67" s="12"/>
      <c r="P67" s="13"/>
    </row>
    <row r="68" spans="1:16">
      <c r="A68" s="4">
        <f t="shared" si="26"/>
        <v>0</v>
      </c>
      <c r="B68" t="s">
        <v>47</v>
      </c>
      <c r="C68" s="5">
        <v>47249</v>
      </c>
      <c r="D68" s="6">
        <f t="shared" si="27"/>
        <v>2.2446040239927356E-3</v>
      </c>
      <c r="E68" s="11"/>
      <c r="F68" s="12"/>
      <c r="G68" s="13"/>
      <c r="H68" s="11">
        <v>47249</v>
      </c>
      <c r="I68" s="12">
        <f t="shared" si="30"/>
        <v>1.3745667477556995E-2</v>
      </c>
      <c r="J68" s="13"/>
      <c r="K68" s="11"/>
      <c r="L68" s="12"/>
      <c r="M68" s="13"/>
      <c r="N68" s="11"/>
      <c r="O68" s="12"/>
      <c r="P68" s="13"/>
    </row>
    <row r="69" spans="1:16">
      <c r="A69" s="4">
        <f t="shared" si="26"/>
        <v>0</v>
      </c>
      <c r="B69" t="s">
        <v>48</v>
      </c>
      <c r="C69" s="5">
        <v>38427</v>
      </c>
      <c r="D69" s="6">
        <f t="shared" si="27"/>
        <v>1.825507393383328E-3</v>
      </c>
      <c r="E69" s="14"/>
      <c r="F69" s="15"/>
      <c r="G69" s="16"/>
      <c r="H69" s="14"/>
      <c r="I69" s="15"/>
      <c r="J69" s="16"/>
      <c r="K69" s="14">
        <v>38427</v>
      </c>
      <c r="L69" s="15">
        <f t="shared" si="24"/>
        <v>2.958175841602451E-2</v>
      </c>
      <c r="M69" s="16"/>
      <c r="N69" s="14"/>
      <c r="O69" s="15"/>
      <c r="P69" s="16"/>
    </row>
    <row r="70" spans="1:16">
      <c r="A70" s="2">
        <f>SUM(A54:A69)</f>
        <v>350</v>
      </c>
      <c r="C70" s="3">
        <v>21050038</v>
      </c>
      <c r="E70" s="3">
        <f t="shared" si="28"/>
        <v>15118173</v>
      </c>
      <c r="G70" s="2">
        <f>SUM(G54:G69)</f>
        <v>249</v>
      </c>
      <c r="H70" s="3">
        <v>3437374</v>
      </c>
      <c r="J70" s="2">
        <f>SUM(J54:J69)</f>
        <v>55</v>
      </c>
      <c r="K70" s="3">
        <v>1299010</v>
      </c>
      <c r="M70" s="2">
        <f>SUM(M54:M69)</f>
        <v>26</v>
      </c>
      <c r="N70" s="3">
        <v>1195481</v>
      </c>
      <c r="P70" s="2">
        <f>SUM(P54:P69)</f>
        <v>20</v>
      </c>
    </row>
    <row r="71" spans="1:16">
      <c r="B71" t="s">
        <v>49</v>
      </c>
    </row>
    <row r="74" spans="1:16">
      <c r="A74" s="7" t="s">
        <v>50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C75" t="s">
        <v>2</v>
      </c>
      <c r="E75" t="s">
        <v>5</v>
      </c>
      <c r="H75" t="s">
        <v>7</v>
      </c>
      <c r="K75" t="s">
        <v>8</v>
      </c>
      <c r="N75" t="s">
        <v>9</v>
      </c>
    </row>
    <row r="76" spans="1:16">
      <c r="A76" t="s">
        <v>6</v>
      </c>
      <c r="C76" t="s">
        <v>3</v>
      </c>
      <c r="D76" t="s">
        <v>4</v>
      </c>
      <c r="E76" s="18" t="s">
        <v>3</v>
      </c>
      <c r="F76" s="18" t="s">
        <v>4</v>
      </c>
      <c r="G76" t="s">
        <v>6</v>
      </c>
      <c r="H76" t="s">
        <v>3</v>
      </c>
      <c r="I76" s="18" t="s">
        <v>4</v>
      </c>
      <c r="J76" t="s">
        <v>6</v>
      </c>
      <c r="K76" t="s">
        <v>3</v>
      </c>
      <c r="L76" s="18" t="s">
        <v>4</v>
      </c>
      <c r="M76" t="s">
        <v>6</v>
      </c>
      <c r="N76" t="s">
        <v>3</v>
      </c>
      <c r="O76" s="18" t="s">
        <v>4</v>
      </c>
      <c r="P76" t="s">
        <v>6</v>
      </c>
    </row>
    <row r="77" spans="1:16">
      <c r="A77" s="4">
        <f>+G77+J77+M77+P77</f>
        <v>168</v>
      </c>
      <c r="B77" t="s">
        <v>11</v>
      </c>
      <c r="C77" s="5">
        <v>8901718</v>
      </c>
      <c r="D77" s="6">
        <f>+C77/C$95</f>
        <v>0.44061543779886458</v>
      </c>
      <c r="E77" s="20">
        <f t="shared" ref="E77:E95" si="31">+C77-H77-K77-N77</f>
        <v>6855691</v>
      </c>
      <c r="F77" s="12">
        <f>+E77/E$95</f>
        <v>0.46776655895587832</v>
      </c>
      <c r="G77" s="10">
        <v>128</v>
      </c>
      <c r="H77" s="19">
        <v>1299733</v>
      </c>
      <c r="I77" s="12">
        <f t="shared" ref="I77:I92" si="32">+H77/H$95</f>
        <v>0.41004404146712348</v>
      </c>
      <c r="J77" s="10">
        <v>25</v>
      </c>
      <c r="K77" s="8">
        <v>458376</v>
      </c>
      <c r="L77" s="12">
        <f t="shared" ref="L77:L94" si="33">+K77/K$95</f>
        <v>0.35756794263635916</v>
      </c>
      <c r="M77" s="10">
        <v>10</v>
      </c>
      <c r="N77" s="23">
        <v>287918</v>
      </c>
      <c r="O77" s="12">
        <f t="shared" ref="O77:O91" si="34">+N77/N$95</f>
        <v>0.26293184929348901</v>
      </c>
      <c r="P77" s="10">
        <v>5</v>
      </c>
    </row>
    <row r="78" spans="1:16">
      <c r="A78" s="4">
        <f t="shared" ref="A78:A94" si="35">+G78+J78+M78+P78</f>
        <v>100</v>
      </c>
      <c r="B78" t="s">
        <v>51</v>
      </c>
      <c r="C78" s="5">
        <v>5247677</v>
      </c>
      <c r="D78" s="6">
        <f t="shared" ref="D78:D94" si="36">+C78/C$95</f>
        <v>0.25974845516135564</v>
      </c>
      <c r="E78" s="11">
        <f t="shared" si="31"/>
        <v>4268989</v>
      </c>
      <c r="F78" s="12">
        <f>+E78/E$95</f>
        <v>0.29127483936345672</v>
      </c>
      <c r="G78" s="13">
        <v>80</v>
      </c>
      <c r="H78" s="11">
        <v>361316</v>
      </c>
      <c r="I78" s="12">
        <f t="shared" si="32"/>
        <v>0.11398915999419511</v>
      </c>
      <c r="J78" s="13">
        <v>6</v>
      </c>
      <c r="K78" s="20">
        <v>502405</v>
      </c>
      <c r="L78" s="12">
        <f t="shared" si="33"/>
        <v>0.39191389213270333</v>
      </c>
      <c r="M78" s="13">
        <v>12</v>
      </c>
      <c r="N78" s="11">
        <v>114967</v>
      </c>
      <c r="O78" s="12">
        <f t="shared" si="34"/>
        <v>0.10498991350913994</v>
      </c>
      <c r="P78" s="13">
        <v>2</v>
      </c>
    </row>
    <row r="79" spans="1:16">
      <c r="A79" s="4">
        <f t="shared" si="35"/>
        <v>34</v>
      </c>
      <c r="B79" t="s">
        <v>43</v>
      </c>
      <c r="C79" s="5">
        <v>1861712</v>
      </c>
      <c r="D79" s="6">
        <f t="shared" si="36"/>
        <v>9.2150644171765481E-2</v>
      </c>
      <c r="E79" s="11">
        <f t="shared" si="31"/>
        <v>1566435</v>
      </c>
      <c r="F79" s="12">
        <f>+E79/E$95</f>
        <v>0.1068784911364954</v>
      </c>
      <c r="G79" s="13">
        <v>29</v>
      </c>
      <c r="H79" s="11">
        <v>130704</v>
      </c>
      <c r="I79" s="12">
        <f t="shared" si="32"/>
        <v>4.1234927785875182E-2</v>
      </c>
      <c r="J79" s="13">
        <v>2</v>
      </c>
      <c r="K79" s="11">
        <v>109849</v>
      </c>
      <c r="L79" s="12">
        <f t="shared" si="33"/>
        <v>8.5690526839671835E-2</v>
      </c>
      <c r="M79" s="13">
        <v>2</v>
      </c>
      <c r="N79" s="11">
        <v>54724</v>
      </c>
      <c r="O79" s="12">
        <f t="shared" si="34"/>
        <v>4.997493217074616E-2</v>
      </c>
      <c r="P79" s="13">
        <v>1</v>
      </c>
    </row>
    <row r="80" spans="1:16">
      <c r="A80" s="4">
        <f t="shared" si="35"/>
        <v>19</v>
      </c>
      <c r="B80" t="s">
        <v>25</v>
      </c>
      <c r="C80" s="5">
        <v>1014258</v>
      </c>
      <c r="D80" s="6">
        <f t="shared" si="36"/>
        <v>5.020353741951844E-2</v>
      </c>
      <c r="E80" s="11"/>
      <c r="F80" s="12"/>
      <c r="G80" s="13"/>
      <c r="H80" s="11">
        <v>1014258</v>
      </c>
      <c r="I80" s="12">
        <f t="shared" si="32"/>
        <v>0.3199814495826156</v>
      </c>
      <c r="J80" s="13">
        <v>19</v>
      </c>
      <c r="K80" s="11"/>
      <c r="L80" s="12">
        <f t="shared" si="33"/>
        <v>0</v>
      </c>
      <c r="M80" s="13"/>
      <c r="N80" s="11"/>
      <c r="O80" s="12"/>
      <c r="P80" s="13"/>
    </row>
    <row r="81" spans="1:16">
      <c r="A81" s="4">
        <f t="shared" si="35"/>
        <v>16</v>
      </c>
      <c r="B81" t="s">
        <v>52</v>
      </c>
      <c r="C81" s="5">
        <v>935504</v>
      </c>
      <c r="D81" s="6">
        <f t="shared" si="36"/>
        <v>4.6305387850141856E-2</v>
      </c>
      <c r="E81" s="11">
        <f t="shared" si="31"/>
        <v>783288</v>
      </c>
      <c r="F81" s="12">
        <f t="shared" ref="F81:F88" si="37">+E81/E$95</f>
        <v>5.3444055811650792E-2</v>
      </c>
      <c r="G81" s="13">
        <v>14</v>
      </c>
      <c r="H81" s="11">
        <v>123912</v>
      </c>
      <c r="I81" s="12">
        <f t="shared" si="32"/>
        <v>3.9092165288004695E-2</v>
      </c>
      <c r="J81" s="13">
        <v>2</v>
      </c>
      <c r="K81" s="11">
        <v>14614</v>
      </c>
      <c r="L81" s="12">
        <f t="shared" si="33"/>
        <v>1.1400025118434982E-2</v>
      </c>
      <c r="M81" s="13"/>
      <c r="N81" s="11">
        <v>13690</v>
      </c>
      <c r="O81" s="12">
        <f t="shared" si="34"/>
        <v>1.2501952003097635E-2</v>
      </c>
      <c r="P81" s="13"/>
    </row>
    <row r="82" spans="1:16">
      <c r="A82" s="4">
        <f t="shared" si="35"/>
        <v>6</v>
      </c>
      <c r="B82" t="s">
        <v>15</v>
      </c>
      <c r="C82" s="5">
        <v>309610</v>
      </c>
      <c r="D82" s="6">
        <f t="shared" si="36"/>
        <v>1.5325013182501004E-2</v>
      </c>
      <c r="E82" s="11">
        <f t="shared" si="31"/>
        <v>4935</v>
      </c>
      <c r="F82" s="12">
        <f t="shared" si="37"/>
        <v>3.367170382164627E-4</v>
      </c>
      <c r="G82" s="13"/>
      <c r="H82" s="11"/>
      <c r="I82" s="12">
        <f t="shared" si="32"/>
        <v>0</v>
      </c>
      <c r="J82" s="13"/>
      <c r="K82" s="11"/>
      <c r="L82" s="12">
        <f t="shared" si="33"/>
        <v>0</v>
      </c>
      <c r="M82" s="13"/>
      <c r="N82" s="20">
        <v>304675</v>
      </c>
      <c r="O82" s="12">
        <f t="shared" si="34"/>
        <v>0.27823464036112283</v>
      </c>
      <c r="P82" s="13">
        <v>6</v>
      </c>
    </row>
    <row r="83" spans="1:16">
      <c r="A83" s="4">
        <f t="shared" si="35"/>
        <v>3</v>
      </c>
      <c r="B83" t="s">
        <v>27</v>
      </c>
      <c r="C83" s="5">
        <v>231722</v>
      </c>
      <c r="D83" s="6">
        <f t="shared" si="36"/>
        <v>1.1469728706035005E-2</v>
      </c>
      <c r="E83" s="11">
        <f t="shared" si="31"/>
        <v>37998</v>
      </c>
      <c r="F83" s="12">
        <f t="shared" si="37"/>
        <v>2.5926188486624421E-3</v>
      </c>
      <c r="G83" s="13"/>
      <c r="H83" s="11"/>
      <c r="I83" s="12">
        <f t="shared" si="32"/>
        <v>0</v>
      </c>
      <c r="J83" s="13"/>
      <c r="K83" s="11"/>
      <c r="L83" s="12">
        <f t="shared" si="33"/>
        <v>0</v>
      </c>
      <c r="M83" s="13"/>
      <c r="N83" s="11">
        <v>193724</v>
      </c>
      <c r="O83" s="12">
        <f t="shared" si="34"/>
        <v>0.17691220963097781</v>
      </c>
      <c r="P83" s="13">
        <v>3</v>
      </c>
    </row>
    <row r="84" spans="1:16">
      <c r="A84" s="4">
        <f t="shared" si="35"/>
        <v>0</v>
      </c>
      <c r="B84" t="s">
        <v>53</v>
      </c>
      <c r="C84" s="5">
        <v>229645</v>
      </c>
      <c r="D84" s="6">
        <f t="shared" si="36"/>
        <v>1.1366921779966548E-2</v>
      </c>
      <c r="E84" s="11">
        <f t="shared" si="31"/>
        <v>189218</v>
      </c>
      <c r="F84" s="12">
        <f t="shared" si="37"/>
        <v>1.2910420372288277E-2</v>
      </c>
      <c r="G84" s="13"/>
      <c r="H84" s="11">
        <v>18100</v>
      </c>
      <c r="I84" s="12">
        <f t="shared" si="32"/>
        <v>5.7102475281884321E-3</v>
      </c>
      <c r="J84" s="13"/>
      <c r="K84" s="11">
        <v>12072</v>
      </c>
      <c r="L84" s="12">
        <f t="shared" si="33"/>
        <v>9.4170728910460584E-3</v>
      </c>
      <c r="M84" s="13"/>
      <c r="N84" s="11">
        <v>10255</v>
      </c>
      <c r="O84" s="12">
        <f t="shared" si="34"/>
        <v>9.3650487795300403E-3</v>
      </c>
      <c r="P84" s="13"/>
    </row>
    <row r="85" spans="1:16">
      <c r="A85" s="4">
        <f t="shared" si="35"/>
        <v>0</v>
      </c>
      <c r="B85" t="s">
        <v>136</v>
      </c>
      <c r="C85" s="5">
        <f>73004+65664+64403+16091</f>
        <v>219162</v>
      </c>
      <c r="D85" s="6">
        <f t="shared" si="36"/>
        <v>1.0848036365438083E-2</v>
      </c>
      <c r="E85" s="11">
        <f t="shared" ref="E85" si="38">+C85-H85-K85-N85</f>
        <v>219162</v>
      </c>
      <c r="F85" s="12">
        <f t="shared" ref="F85" si="39">+E85/E$95</f>
        <v>1.4953511556149221E-2</v>
      </c>
      <c r="G85" s="13"/>
      <c r="H85" s="11"/>
      <c r="I85" s="12"/>
      <c r="J85" s="13"/>
      <c r="K85" s="11"/>
      <c r="L85" s="12"/>
      <c r="M85" s="13"/>
      <c r="N85" s="11"/>
      <c r="O85" s="12"/>
      <c r="P85" s="13"/>
    </row>
    <row r="86" spans="1:16">
      <c r="A86" s="4">
        <f>+G86+J86+M86+P86</f>
        <v>0</v>
      </c>
      <c r="B86" t="s">
        <v>54</v>
      </c>
      <c r="C86" s="5">
        <v>194538</v>
      </c>
      <c r="D86" s="6">
        <f>+C86/C$95</f>
        <v>9.6292025919620817E-3</v>
      </c>
      <c r="E86" s="11">
        <f>+C86-H86-K86-N86</f>
        <v>194538</v>
      </c>
      <c r="F86" s="12">
        <f>+E86/E$95</f>
        <v>1.3273406115613826E-2</v>
      </c>
      <c r="G86" s="13"/>
      <c r="H86" s="11"/>
      <c r="I86" s="12">
        <f>+H86/H$95</f>
        <v>0</v>
      </c>
      <c r="J86" s="13"/>
      <c r="K86" s="11"/>
      <c r="L86" s="12">
        <f>+K86/K$95</f>
        <v>0</v>
      </c>
      <c r="M86" s="13"/>
      <c r="N86" s="11"/>
      <c r="O86" s="12"/>
      <c r="P86" s="13"/>
    </row>
    <row r="87" spans="1:16">
      <c r="A87" s="4">
        <f t="shared" si="35"/>
        <v>2</v>
      </c>
      <c r="B87" t="s">
        <v>30</v>
      </c>
      <c r="C87" s="5">
        <v>107053</v>
      </c>
      <c r="D87" s="6">
        <f t="shared" si="36"/>
        <v>5.2988877498345664E-3</v>
      </c>
      <c r="E87" s="11">
        <f t="shared" si="31"/>
        <v>7645</v>
      </c>
      <c r="F87" s="12">
        <f t="shared" si="37"/>
        <v>5.2162143002327404E-4</v>
      </c>
      <c r="G87" s="13"/>
      <c r="H87" s="11"/>
      <c r="I87" s="12">
        <f t="shared" si="32"/>
        <v>0</v>
      </c>
      <c r="J87" s="13"/>
      <c r="K87" s="11"/>
      <c r="L87" s="12">
        <f t="shared" si="33"/>
        <v>0</v>
      </c>
      <c r="M87" s="13"/>
      <c r="N87" s="11">
        <v>99408</v>
      </c>
      <c r="O87" s="12">
        <f t="shared" si="34"/>
        <v>9.0781157394005094E-2</v>
      </c>
      <c r="P87" s="13">
        <v>2</v>
      </c>
    </row>
    <row r="88" spans="1:16">
      <c r="A88" s="4">
        <f t="shared" si="35"/>
        <v>0</v>
      </c>
      <c r="B88" t="s">
        <v>55</v>
      </c>
      <c r="C88" s="5">
        <v>94088</v>
      </c>
      <c r="D88" s="6">
        <f t="shared" si="36"/>
        <v>4.6571488011212638E-3</v>
      </c>
      <c r="E88" s="11">
        <f t="shared" si="31"/>
        <v>94088</v>
      </c>
      <c r="F88" s="12">
        <f t="shared" si="37"/>
        <v>6.4196621462432714E-3</v>
      </c>
      <c r="G88" s="13"/>
      <c r="H88" s="11"/>
      <c r="I88" s="12">
        <f t="shared" si="32"/>
        <v>0</v>
      </c>
      <c r="J88" s="13"/>
      <c r="K88" s="11"/>
      <c r="L88" s="12">
        <f t="shared" si="33"/>
        <v>0</v>
      </c>
      <c r="M88" s="13"/>
      <c r="N88" s="11"/>
      <c r="O88" s="12"/>
      <c r="P88" s="13"/>
    </row>
    <row r="89" spans="1:16">
      <c r="A89" s="4">
        <f t="shared" si="35"/>
        <v>0</v>
      </c>
      <c r="B89" t="s">
        <v>44</v>
      </c>
      <c r="C89" s="5">
        <v>84628</v>
      </c>
      <c r="D89" s="6">
        <f t="shared" si="36"/>
        <v>4.1888996337608444E-3</v>
      </c>
      <c r="E89" s="11"/>
      <c r="F89" s="12"/>
      <c r="G89" s="13"/>
      <c r="H89" s="11">
        <v>84628</v>
      </c>
      <c r="I89" s="12">
        <f t="shared" si="32"/>
        <v>2.6698719768813845E-2</v>
      </c>
      <c r="J89" s="13"/>
      <c r="K89" s="11"/>
      <c r="L89" s="12">
        <f t="shared" si="33"/>
        <v>0</v>
      </c>
      <c r="M89" s="13"/>
      <c r="N89" s="11"/>
      <c r="O89" s="12"/>
      <c r="P89" s="13"/>
    </row>
    <row r="90" spans="1:16">
      <c r="A90" s="4">
        <f t="shared" si="35"/>
        <v>1</v>
      </c>
      <c r="B90" t="s">
        <v>56</v>
      </c>
      <c r="C90" s="5">
        <v>79972</v>
      </c>
      <c r="D90" s="6">
        <f t="shared" si="36"/>
        <v>3.9584378871191832E-3</v>
      </c>
      <c r="E90" s="11"/>
      <c r="F90" s="12"/>
      <c r="G90" s="13"/>
      <c r="H90" s="11"/>
      <c r="I90" s="12">
        <f t="shared" si="32"/>
        <v>0</v>
      </c>
      <c r="J90" s="13"/>
      <c r="K90" s="11">
        <v>79972</v>
      </c>
      <c r="L90" s="12">
        <f t="shared" si="33"/>
        <v>6.2384207525077479E-2</v>
      </c>
      <c r="M90" s="13">
        <v>1</v>
      </c>
      <c r="N90" s="11"/>
      <c r="O90" s="12"/>
      <c r="P90" s="13"/>
    </row>
    <row r="91" spans="1:16">
      <c r="A91" s="4">
        <f t="shared" si="35"/>
        <v>0</v>
      </c>
      <c r="B91" t="s">
        <v>46</v>
      </c>
      <c r="C91" s="5">
        <v>77914</v>
      </c>
      <c r="D91" s="6">
        <f t="shared" si="36"/>
        <v>3.8565714192092737E-3</v>
      </c>
      <c r="E91" s="11">
        <f t="shared" si="31"/>
        <v>53861</v>
      </c>
      <c r="F91" s="12">
        <f>+E91/E$95</f>
        <v>3.6749577295596553E-3</v>
      </c>
      <c r="G91" s="13"/>
      <c r="H91" s="11">
        <v>11519</v>
      </c>
      <c r="I91" s="12">
        <f t="shared" si="32"/>
        <v>3.6340520042653342E-3</v>
      </c>
      <c r="J91" s="13"/>
      <c r="K91" s="11">
        <v>8237</v>
      </c>
      <c r="L91" s="12">
        <f t="shared" si="33"/>
        <v>6.4254828863109991E-3</v>
      </c>
      <c r="M91" s="13"/>
      <c r="N91" s="11">
        <v>4297</v>
      </c>
      <c r="O91" s="12">
        <f t="shared" si="34"/>
        <v>3.924096987385722E-3</v>
      </c>
      <c r="P91" s="13"/>
    </row>
    <row r="92" spans="1:16">
      <c r="A92" s="4">
        <f t="shared" si="35"/>
        <v>0</v>
      </c>
      <c r="B92" t="s">
        <v>47</v>
      </c>
      <c r="C92" s="5">
        <v>57107</v>
      </c>
      <c r="D92" s="6">
        <f t="shared" si="36"/>
        <v>2.8266707400054418E-3</v>
      </c>
      <c r="E92" s="11">
        <f t="shared" ref="E92" si="40">+C92-H92-K92-N92</f>
        <v>4679</v>
      </c>
      <c r="F92" s="12">
        <f>+E92/E$95</f>
        <v>3.1925005507899273E-4</v>
      </c>
      <c r="G92" s="13"/>
      <c r="H92" s="11">
        <v>50689</v>
      </c>
      <c r="I92" s="12">
        <f t="shared" si="32"/>
        <v>1.5991532428527262E-2</v>
      </c>
      <c r="J92" s="13"/>
      <c r="K92" s="11">
        <v>1739</v>
      </c>
      <c r="L92" s="12">
        <f t="shared" si="33"/>
        <v>1.3565515041028078E-3</v>
      </c>
      <c r="M92" s="13"/>
      <c r="N92" s="11"/>
      <c r="O92" s="12"/>
      <c r="P92" s="13"/>
    </row>
    <row r="93" spans="1:16">
      <c r="A93" s="4">
        <f t="shared" si="35"/>
        <v>1</v>
      </c>
      <c r="B93" t="s">
        <v>57</v>
      </c>
      <c r="C93" s="5">
        <v>45574</v>
      </c>
      <c r="D93" s="6">
        <f t="shared" si="36"/>
        <v>2.2558126377678392E-3</v>
      </c>
      <c r="E93" s="11"/>
      <c r="F93" s="12"/>
      <c r="G93" s="13"/>
      <c r="H93" s="11"/>
      <c r="I93" s="12"/>
      <c r="J93" s="13"/>
      <c r="K93" s="11">
        <v>45574</v>
      </c>
      <c r="L93" s="12">
        <f t="shared" si="33"/>
        <v>3.5551166330064034E-2</v>
      </c>
      <c r="M93" s="13">
        <v>1</v>
      </c>
      <c r="N93" s="11"/>
      <c r="O93" s="12"/>
      <c r="P93" s="13"/>
    </row>
    <row r="94" spans="1:16">
      <c r="A94" s="4">
        <f t="shared" si="35"/>
        <v>0</v>
      </c>
      <c r="B94" t="s">
        <v>58</v>
      </c>
      <c r="C94" s="5">
        <v>27049</v>
      </c>
      <c r="D94" s="6">
        <f t="shared" si="36"/>
        <v>1.3388659331851995E-3</v>
      </c>
      <c r="E94" s="14"/>
      <c r="F94" s="15"/>
      <c r="G94" s="16"/>
      <c r="H94" s="14"/>
      <c r="I94" s="15"/>
      <c r="J94" s="16"/>
      <c r="K94" s="14">
        <v>27049</v>
      </c>
      <c r="L94" s="15">
        <f t="shared" si="33"/>
        <v>2.1100265459733668E-2</v>
      </c>
      <c r="M94" s="16"/>
      <c r="N94" s="14"/>
      <c r="O94" s="15"/>
      <c r="P94" s="16"/>
    </row>
    <row r="95" spans="1:16">
      <c r="A95" s="2">
        <f>SUM(A77:A94)</f>
        <v>350</v>
      </c>
      <c r="C95" s="3">
        <v>20202919</v>
      </c>
      <c r="D95" s="22"/>
      <c r="E95" s="21">
        <f t="shared" si="31"/>
        <v>14656223</v>
      </c>
      <c r="G95" s="2">
        <f>SUM(G77:G94)</f>
        <v>251</v>
      </c>
      <c r="H95" s="3">
        <v>3169740</v>
      </c>
      <c r="J95" s="2">
        <f>SUM(J77:J94)</f>
        <v>54</v>
      </c>
      <c r="K95" s="3">
        <v>1281927</v>
      </c>
      <c r="M95" s="2">
        <f>SUM(M77:M94)</f>
        <v>26</v>
      </c>
      <c r="N95" s="3">
        <v>1095029</v>
      </c>
      <c r="P95" s="2">
        <f>SUM(P77:P94)</f>
        <v>19</v>
      </c>
    </row>
    <row r="96" spans="1:16">
      <c r="B96" t="s">
        <v>59</v>
      </c>
      <c r="D96" s="22"/>
      <c r="E96" s="21"/>
    </row>
    <row r="97" spans="1:16">
      <c r="B97" t="s">
        <v>137</v>
      </c>
    </row>
    <row r="99" spans="1:16">
      <c r="A99" s="7" t="s">
        <v>60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>
      <c r="C100" t="s">
        <v>2</v>
      </c>
      <c r="E100" t="s">
        <v>5</v>
      </c>
      <c r="H100" t="s">
        <v>7</v>
      </c>
      <c r="K100" t="s">
        <v>8</v>
      </c>
      <c r="N100" t="s">
        <v>9</v>
      </c>
    </row>
    <row r="101" spans="1:16">
      <c r="A101" t="s">
        <v>6</v>
      </c>
      <c r="C101" t="s">
        <v>3</v>
      </c>
      <c r="D101" t="s">
        <v>4</v>
      </c>
      <c r="E101" s="18" t="s">
        <v>3</v>
      </c>
      <c r="F101" s="18" t="s">
        <v>4</v>
      </c>
      <c r="G101" t="s">
        <v>6</v>
      </c>
      <c r="H101" t="s">
        <v>3</v>
      </c>
      <c r="I101" s="18" t="s">
        <v>4</v>
      </c>
      <c r="J101" t="s">
        <v>6</v>
      </c>
      <c r="K101" t="s">
        <v>3</v>
      </c>
      <c r="L101" s="18" t="s">
        <v>4</v>
      </c>
      <c r="M101" t="s">
        <v>6</v>
      </c>
      <c r="N101" t="s">
        <v>3</v>
      </c>
      <c r="O101" s="18" t="s">
        <v>4</v>
      </c>
      <c r="P101" t="s">
        <v>6</v>
      </c>
    </row>
    <row r="102" spans="1:16">
      <c r="A102" s="4">
        <f>+G102+J102+M102+P102</f>
        <v>154</v>
      </c>
      <c r="B102" t="s">
        <v>11</v>
      </c>
      <c r="C102" s="5">
        <v>8115568</v>
      </c>
      <c r="D102" s="6">
        <f>+C102/C$121</f>
        <v>0.39600341217356649</v>
      </c>
      <c r="E102" s="20">
        <f t="shared" ref="E102:E104" si="41">+C102-H102-K102-N102</f>
        <v>6298193</v>
      </c>
      <c r="F102" s="12">
        <f t="shared" ref="F102:F116" si="42">+E102/E$121</f>
        <v>0.4227512544211996</v>
      </c>
      <c r="G102" s="10">
        <v>117</v>
      </c>
      <c r="H102" s="19">
        <v>1123975</v>
      </c>
      <c r="I102" s="12">
        <f>+H102/H$121</f>
        <v>0.3558857176148667</v>
      </c>
      <c r="J102" s="10">
        <v>22</v>
      </c>
      <c r="K102" s="8">
        <v>459750</v>
      </c>
      <c r="L102" s="12">
        <f t="shared" ref="L102:L120" si="43">+K102/K$121</f>
        <v>0.34557587711254162</v>
      </c>
      <c r="M102" s="10">
        <v>10</v>
      </c>
      <c r="N102" s="23">
        <v>233650</v>
      </c>
      <c r="O102" s="12">
        <f t="shared" ref="O102:O116" si="44">+N102/N$121</f>
        <v>0.21107719381611126</v>
      </c>
      <c r="P102" s="10">
        <v>5</v>
      </c>
    </row>
    <row r="103" spans="1:16">
      <c r="A103" s="4">
        <f t="shared" ref="A103:A120" si="45">+G103+J103+M103+P103</f>
        <v>99</v>
      </c>
      <c r="B103" t="s">
        <v>61</v>
      </c>
      <c r="C103" s="5">
        <v>5285972</v>
      </c>
      <c r="D103" s="6">
        <f t="shared" ref="D103:D120" si="46">+C103/C$121</f>
        <v>0.25793178600116856</v>
      </c>
      <c r="E103" s="11">
        <f t="shared" si="41"/>
        <v>4327092</v>
      </c>
      <c r="F103" s="12">
        <f t="shared" si="42"/>
        <v>0.29044577881242084</v>
      </c>
      <c r="G103" s="13">
        <v>80</v>
      </c>
      <c r="H103" s="11">
        <v>336015</v>
      </c>
      <c r="I103" s="12">
        <f t="shared" ref="I103:I117" si="47">+H103/H$121</f>
        <v>0.10639288187402696</v>
      </c>
      <c r="J103" s="13">
        <v>6</v>
      </c>
      <c r="K103" s="20">
        <v>519168</v>
      </c>
      <c r="L103" s="12">
        <f t="shared" si="43"/>
        <v>0.39023803582112887</v>
      </c>
      <c r="M103" s="13">
        <v>11</v>
      </c>
      <c r="N103" s="11">
        <v>103697</v>
      </c>
      <c r="O103" s="12">
        <f t="shared" si="44"/>
        <v>9.3678886227901936E-2</v>
      </c>
      <c r="P103" s="13">
        <v>2</v>
      </c>
    </row>
    <row r="104" spans="1:16">
      <c r="A104" s="4">
        <f t="shared" si="45"/>
        <v>34</v>
      </c>
      <c r="B104" t="s">
        <v>62</v>
      </c>
      <c r="C104" s="5">
        <v>1858588</v>
      </c>
      <c r="D104" s="6">
        <f t="shared" si="46"/>
        <v>9.0690779724209636E-2</v>
      </c>
      <c r="E104" s="11">
        <f t="shared" si="41"/>
        <v>1550168</v>
      </c>
      <c r="F104" s="12">
        <f t="shared" si="42"/>
        <v>0.1040513471980935</v>
      </c>
      <c r="G104" s="13">
        <v>29</v>
      </c>
      <c r="H104" s="11">
        <v>231452</v>
      </c>
      <c r="I104" s="12">
        <f t="shared" si="47"/>
        <v>7.3284958396224231E-2</v>
      </c>
      <c r="J104" s="13">
        <v>4</v>
      </c>
      <c r="K104" s="11">
        <v>43645</v>
      </c>
      <c r="L104" s="12">
        <f t="shared" si="43"/>
        <v>3.2806218937633233E-2</v>
      </c>
      <c r="M104" s="13">
        <v>1</v>
      </c>
      <c r="N104" s="11">
        <v>33323</v>
      </c>
      <c r="O104" s="12">
        <f t="shared" si="44"/>
        <v>3.0103682129399852E-2</v>
      </c>
      <c r="P104" s="13"/>
    </row>
    <row r="105" spans="1:16">
      <c r="A105" s="4">
        <f t="shared" si="45"/>
        <v>29</v>
      </c>
      <c r="B105" t="s">
        <v>43</v>
      </c>
      <c r="C105" s="5">
        <v>1617716</v>
      </c>
      <c r="D105" s="6">
        <f t="shared" si="46"/>
        <v>7.8937303701696937E-2</v>
      </c>
      <c r="E105" s="11">
        <f t="shared" ref="E105:E114" si="48">+C105-H105-K105-N105</f>
        <v>1339123</v>
      </c>
      <c r="F105" s="12">
        <f t="shared" si="42"/>
        <v>8.9885452553499084E-2</v>
      </c>
      <c r="G105" s="13">
        <v>25</v>
      </c>
      <c r="H105" s="11">
        <v>136518</v>
      </c>
      <c r="I105" s="12">
        <f t="shared" si="47"/>
        <v>4.3225878153291999E-2</v>
      </c>
      <c r="J105" s="13">
        <v>2</v>
      </c>
      <c r="K105" s="11">
        <v>103762</v>
      </c>
      <c r="L105" s="12">
        <f t="shared" si="43"/>
        <v>7.7993788278306775E-2</v>
      </c>
      <c r="M105" s="13">
        <v>2</v>
      </c>
      <c r="N105" s="11">
        <v>38313</v>
      </c>
      <c r="O105" s="12">
        <f t="shared" si="44"/>
        <v>3.4611600798958572E-2</v>
      </c>
      <c r="P105" s="13"/>
    </row>
    <row r="106" spans="1:16">
      <c r="A106" s="4">
        <f t="shared" si="45"/>
        <v>20</v>
      </c>
      <c r="B106" t="s">
        <v>25</v>
      </c>
      <c r="C106" s="5">
        <v>1032243</v>
      </c>
      <c r="D106" s="6">
        <f t="shared" si="46"/>
        <v>5.0368840504112437E-2</v>
      </c>
      <c r="E106" s="11"/>
      <c r="F106" s="12"/>
      <c r="G106" s="13"/>
      <c r="H106" s="11">
        <v>1032243</v>
      </c>
      <c r="I106" s="12">
        <f t="shared" si="47"/>
        <v>0.32684049094323531</v>
      </c>
      <c r="J106" s="13">
        <v>20</v>
      </c>
      <c r="K106" s="11"/>
      <c r="L106" s="12"/>
      <c r="M106" s="13"/>
      <c r="N106" s="11"/>
      <c r="O106" s="12"/>
      <c r="P106" s="13"/>
    </row>
    <row r="107" spans="1:16">
      <c r="A107" s="4">
        <f t="shared" si="45"/>
        <v>5</v>
      </c>
      <c r="B107" t="s">
        <v>15</v>
      </c>
      <c r="C107" s="5">
        <v>254681</v>
      </c>
      <c r="D107" s="6">
        <f t="shared" si="46"/>
        <v>1.2427293445853214E-2</v>
      </c>
      <c r="E107" s="11">
        <f t="shared" si="48"/>
        <v>2562</v>
      </c>
      <c r="F107" s="12">
        <f t="shared" si="42"/>
        <v>1.7196816830273594E-4</v>
      </c>
      <c r="G107" s="13"/>
      <c r="H107" s="11"/>
      <c r="I107" s="12"/>
      <c r="J107" s="13"/>
      <c r="K107" s="11"/>
      <c r="L107" s="12"/>
      <c r="M107" s="13"/>
      <c r="N107" s="20">
        <v>252119</v>
      </c>
      <c r="O107" s="12">
        <f t="shared" si="44"/>
        <v>0.22776191323656816</v>
      </c>
      <c r="P107" s="13">
        <v>5</v>
      </c>
    </row>
    <row r="108" spans="1:16">
      <c r="A108" s="4">
        <f>+G108+J108+M108+P108</f>
        <v>0</v>
      </c>
      <c r="B108" t="s">
        <v>69</v>
      </c>
      <c r="C108" s="5">
        <f>10984+144924+71733+3396+2962</f>
        <v>233999</v>
      </c>
      <c r="D108" s="6">
        <f>+C108/C$121</f>
        <v>1.1418104369922398E-2</v>
      </c>
      <c r="E108" s="11">
        <f>+C108-H108-K108-N108</f>
        <v>233999</v>
      </c>
      <c r="F108" s="12">
        <f>+E108/E$121</f>
        <v>1.5706627406195123E-2</v>
      </c>
      <c r="G108" s="13"/>
      <c r="H108" s="11"/>
      <c r="I108" s="12"/>
      <c r="J108" s="13"/>
      <c r="K108" s="11"/>
      <c r="L108" s="12"/>
      <c r="M108" s="13"/>
      <c r="N108" s="11"/>
      <c r="O108" s="12"/>
      <c r="P108" s="13"/>
    </row>
    <row r="109" spans="1:16">
      <c r="A109" s="4">
        <f>+G109+J109+M109+P109</f>
        <v>0</v>
      </c>
      <c r="B109" t="s">
        <v>63</v>
      </c>
      <c r="C109" s="5">
        <v>219883</v>
      </c>
      <c r="D109" s="6">
        <f>+C109/C$121</f>
        <v>1.0729306719993021E-2</v>
      </c>
      <c r="E109" s="11">
        <f>+C109-H109-K109-N109</f>
        <v>161116</v>
      </c>
      <c r="F109" s="12">
        <f>+E109/E$121</f>
        <v>1.0814529041476817E-2</v>
      </c>
      <c r="G109" s="13"/>
      <c r="H109" s="11">
        <v>37942</v>
      </c>
      <c r="I109" s="12">
        <f>+H109/H$121</f>
        <v>1.201362654662539E-2</v>
      </c>
      <c r="J109" s="13"/>
      <c r="K109" s="11">
        <v>13060</v>
      </c>
      <c r="L109" s="12">
        <f>+K109/K$121</f>
        <v>9.8166850572915573E-3</v>
      </c>
      <c r="M109" s="13"/>
      <c r="N109" s="11">
        <v>7765</v>
      </c>
      <c r="O109" s="12">
        <f>+N109/N$121</f>
        <v>7.014827348521737E-3</v>
      </c>
      <c r="P109" s="13"/>
    </row>
    <row r="110" spans="1:16">
      <c r="A110" s="4">
        <f>+G110+J110+M110+P110</f>
        <v>3</v>
      </c>
      <c r="B110" t="s">
        <v>27</v>
      </c>
      <c r="C110" s="5">
        <v>217278</v>
      </c>
      <c r="D110" s="6">
        <f>+C110/C$121</f>
        <v>1.0602194373856294E-2</v>
      </c>
      <c r="E110" s="11">
        <f>+C110-H110-K110-N110</f>
        <v>30632</v>
      </c>
      <c r="F110" s="12">
        <f>+E110/E$121</f>
        <v>2.0561002854993784E-3</v>
      </c>
      <c r="G110" s="13"/>
      <c r="H110" s="11"/>
      <c r="I110" s="12"/>
      <c r="J110" s="13"/>
      <c r="K110" s="11"/>
      <c r="L110" s="12"/>
      <c r="M110" s="13"/>
      <c r="N110" s="11">
        <v>186646</v>
      </c>
      <c r="O110" s="12">
        <f>+N110/N$121</f>
        <v>0.16861422605179499</v>
      </c>
      <c r="P110" s="13">
        <v>3</v>
      </c>
    </row>
    <row r="111" spans="1:16">
      <c r="A111" s="4">
        <f>+G111+J111+M111+P111</f>
        <v>0</v>
      </c>
      <c r="B111" t="s">
        <v>55</v>
      </c>
      <c r="C111" s="5">
        <v>212687</v>
      </c>
      <c r="D111" s="6">
        <f>+C111/C$121</f>
        <v>1.0378174112392297E-2</v>
      </c>
      <c r="E111" s="11">
        <f>+C111-H111-K111-N111</f>
        <v>212687</v>
      </c>
      <c r="F111" s="12">
        <f>+E111/E$121</f>
        <v>1.4276109996800936E-2</v>
      </c>
      <c r="G111" s="13"/>
      <c r="H111" s="11"/>
      <c r="I111" s="12"/>
      <c r="J111" s="13"/>
      <c r="K111" s="11"/>
      <c r="L111" s="12"/>
      <c r="M111" s="13"/>
      <c r="N111" s="11"/>
      <c r="O111" s="12"/>
      <c r="P111" s="13"/>
    </row>
    <row r="112" spans="1:16">
      <c r="A112" s="4">
        <f>+G112+J112+M112+P112</f>
        <v>0</v>
      </c>
      <c r="B112" t="s">
        <v>64</v>
      </c>
      <c r="C112" s="5">
        <v>158034</v>
      </c>
      <c r="D112" s="6">
        <f>+C112/C$121</f>
        <v>7.7113522108911417E-3</v>
      </c>
      <c r="E112" s="11">
        <f>+C112-H112-K112-N112</f>
        <v>131866</v>
      </c>
      <c r="F112" s="12">
        <f>+E112/E$121</f>
        <v>8.8511922253741524E-3</v>
      </c>
      <c r="G112" s="13"/>
      <c r="H112" s="11">
        <v>19444</v>
      </c>
      <c r="I112" s="12">
        <f>+H112/H$121</f>
        <v>6.1565799001788019E-3</v>
      </c>
      <c r="J112" s="13"/>
      <c r="K112" s="11">
        <v>5793</v>
      </c>
      <c r="L112" s="12">
        <f>+K112/K$121</f>
        <v>4.354368800680704E-3</v>
      </c>
      <c r="M112" s="13"/>
      <c r="N112" s="11">
        <v>931</v>
      </c>
      <c r="O112" s="12">
        <f>+N112/N$121</f>
        <v>8.4105656941065509E-4</v>
      </c>
      <c r="P112" s="13"/>
    </row>
    <row r="113" spans="1:16">
      <c r="A113" s="4">
        <f t="shared" si="45"/>
        <v>2</v>
      </c>
      <c r="B113" t="s">
        <v>65</v>
      </c>
      <c r="C113" s="5">
        <v>136955</v>
      </c>
      <c r="D113" s="6">
        <f t="shared" si="46"/>
        <v>6.682791311000141E-3</v>
      </c>
      <c r="E113" s="11">
        <f t="shared" si="48"/>
        <v>13342</v>
      </c>
      <c r="F113" s="12">
        <f t="shared" si="42"/>
        <v>8.9555007864758113E-4</v>
      </c>
      <c r="G113" s="13"/>
      <c r="H113" s="11"/>
      <c r="I113" s="12"/>
      <c r="J113" s="13"/>
      <c r="K113" s="11"/>
      <c r="L113" s="12"/>
      <c r="M113" s="13"/>
      <c r="N113" s="11">
        <v>123613</v>
      </c>
      <c r="O113" s="12">
        <f t="shared" si="44"/>
        <v>0.1116708117234794</v>
      </c>
      <c r="P113" s="13">
        <v>2</v>
      </c>
    </row>
    <row r="114" spans="1:16">
      <c r="A114" s="4">
        <f t="shared" si="45"/>
        <v>0</v>
      </c>
      <c r="B114" t="s">
        <v>66</v>
      </c>
      <c r="C114" s="5">
        <v>136335</v>
      </c>
      <c r="D114" s="6">
        <f t="shared" si="46"/>
        <v>6.6525380846643367E-3</v>
      </c>
      <c r="E114" s="11">
        <f t="shared" si="48"/>
        <v>95560</v>
      </c>
      <c r="F114" s="12">
        <f t="shared" si="42"/>
        <v>6.4142381588639524E-3</v>
      </c>
      <c r="G114" s="13"/>
      <c r="H114" s="11">
        <v>24406</v>
      </c>
      <c r="I114" s="12">
        <f t="shared" si="47"/>
        <v>7.7277046412139389E-3</v>
      </c>
      <c r="J114" s="13"/>
      <c r="K114" s="11">
        <v>6549</v>
      </c>
      <c r="L114" s="12">
        <f t="shared" si="43"/>
        <v>4.922624076585177E-3</v>
      </c>
      <c r="M114" s="13"/>
      <c r="N114" s="11">
        <v>9820</v>
      </c>
      <c r="O114" s="12"/>
      <c r="P114" s="13"/>
    </row>
    <row r="115" spans="1:16">
      <c r="A115" s="4">
        <f t="shared" si="45"/>
        <v>2</v>
      </c>
      <c r="B115" t="s">
        <v>30</v>
      </c>
      <c r="C115" s="5">
        <v>105238</v>
      </c>
      <c r="D115" s="6">
        <f t="shared" si="46"/>
        <v>5.1351436018183556E-3</v>
      </c>
      <c r="E115" s="11">
        <f t="shared" ref="E115:E116" si="49">+C115-H115-K115-N115</f>
        <v>7949</v>
      </c>
      <c r="F115" s="12">
        <f t="shared" si="42"/>
        <v>5.3355775559658393E-4</v>
      </c>
      <c r="G115" s="13"/>
      <c r="H115" s="11"/>
      <c r="I115" s="12"/>
      <c r="J115" s="13"/>
      <c r="K115" s="11"/>
      <c r="L115" s="12"/>
      <c r="M115" s="13"/>
      <c r="N115" s="11">
        <v>97289</v>
      </c>
      <c r="O115" s="12">
        <f t="shared" si="44"/>
        <v>8.788995980815599E-2</v>
      </c>
      <c r="P115" s="13">
        <v>2</v>
      </c>
    </row>
    <row r="116" spans="1:16">
      <c r="A116" s="4">
        <f t="shared" si="45"/>
        <v>0</v>
      </c>
      <c r="B116" t="s">
        <v>67</v>
      </c>
      <c r="C116" s="5">
        <v>86257</v>
      </c>
      <c r="D116" s="6">
        <f t="shared" si="46"/>
        <v>4.208955716205609E-3</v>
      </c>
      <c r="E116" s="11">
        <f t="shared" si="49"/>
        <v>63126</v>
      </c>
      <c r="F116" s="12">
        <f t="shared" si="42"/>
        <v>4.2371829009674117E-3</v>
      </c>
      <c r="G116" s="13"/>
      <c r="H116" s="11">
        <v>13137</v>
      </c>
      <c r="I116" s="12">
        <f t="shared" si="47"/>
        <v>4.159585998181903E-3</v>
      </c>
      <c r="J116" s="13"/>
      <c r="K116" s="11">
        <v>5280</v>
      </c>
      <c r="L116" s="12">
        <f t="shared" si="43"/>
        <v>3.9687670063169546E-3</v>
      </c>
      <c r="M116" s="13"/>
      <c r="N116" s="11">
        <v>4714</v>
      </c>
      <c r="O116" s="12">
        <f t="shared" si="44"/>
        <v>4.2585828874348317E-3</v>
      </c>
      <c r="P116" s="13"/>
    </row>
    <row r="117" spans="1:16">
      <c r="A117" s="4">
        <f t="shared" si="45"/>
        <v>0</v>
      </c>
      <c r="B117" t="s">
        <v>44</v>
      </c>
      <c r="C117" s="5">
        <v>84756</v>
      </c>
      <c r="D117" s="6">
        <f t="shared" si="46"/>
        <v>4.1357136311571535E-3</v>
      </c>
      <c r="E117" s="11"/>
      <c r="F117" s="12"/>
      <c r="G117" s="13"/>
      <c r="H117" s="11">
        <v>84756</v>
      </c>
      <c r="I117" s="12">
        <f t="shared" si="47"/>
        <v>2.6836406398866208E-2</v>
      </c>
      <c r="J117" s="13"/>
      <c r="K117" s="11"/>
      <c r="L117" s="12"/>
      <c r="M117" s="13"/>
      <c r="N117" s="11"/>
      <c r="O117" s="12"/>
      <c r="P117" s="13"/>
    </row>
    <row r="118" spans="1:16">
      <c r="A118" s="4">
        <f t="shared" si="45"/>
        <v>1</v>
      </c>
      <c r="B118" t="s">
        <v>58</v>
      </c>
      <c r="C118" s="5">
        <v>47763</v>
      </c>
      <c r="D118" s="6">
        <f t="shared" si="46"/>
        <v>2.3306207249629424E-3</v>
      </c>
      <c r="E118" s="11"/>
      <c r="F118" s="12"/>
      <c r="G118" s="13"/>
      <c r="H118" s="11"/>
      <c r="I118" s="12"/>
      <c r="J118" s="13"/>
      <c r="K118" s="11">
        <v>47763</v>
      </c>
      <c r="L118" s="12">
        <f t="shared" si="43"/>
        <v>3.590155653839331E-2</v>
      </c>
      <c r="M118" s="13">
        <v>1</v>
      </c>
      <c r="N118" s="11"/>
      <c r="O118" s="12"/>
      <c r="P118" s="13"/>
    </row>
    <row r="119" spans="1:16">
      <c r="A119" s="4">
        <f t="shared" si="45"/>
        <v>1</v>
      </c>
      <c r="B119" t="s">
        <v>56</v>
      </c>
      <c r="C119" s="5">
        <v>45821</v>
      </c>
      <c r="D119" s="6">
        <f t="shared" si="46"/>
        <v>2.2358598127949873E-3</v>
      </c>
      <c r="E119" s="11"/>
      <c r="F119" s="12"/>
      <c r="G119" s="13"/>
      <c r="H119" s="11"/>
      <c r="I119" s="12"/>
      <c r="J119" s="13"/>
      <c r="K119" s="11">
        <v>45821</v>
      </c>
      <c r="L119" s="12">
        <f t="shared" si="43"/>
        <v>3.4441832006903247E-2</v>
      </c>
      <c r="M119" s="13">
        <v>1</v>
      </c>
      <c r="N119" s="11"/>
      <c r="O119" s="12"/>
      <c r="P119" s="13"/>
    </row>
    <row r="120" spans="1:16">
      <c r="A120" s="4">
        <f t="shared" si="45"/>
        <v>0</v>
      </c>
      <c r="B120" t="s">
        <v>57</v>
      </c>
      <c r="C120" s="5">
        <v>34131</v>
      </c>
      <c r="D120" s="6">
        <f t="shared" si="46"/>
        <v>1.6654401097860305E-3</v>
      </c>
      <c r="E120" s="14"/>
      <c r="F120" s="15"/>
      <c r="G120" s="16"/>
      <c r="H120" s="14"/>
      <c r="I120" s="15"/>
      <c r="J120" s="16"/>
      <c r="K120" s="14">
        <v>34131</v>
      </c>
      <c r="L120" s="15">
        <f t="shared" si="43"/>
        <v>2.5654921722084084E-2</v>
      </c>
      <c r="M120" s="16"/>
      <c r="N120" s="14"/>
      <c r="O120" s="15"/>
      <c r="P120" s="16"/>
    </row>
    <row r="121" spans="1:16">
      <c r="A121" s="2">
        <f>SUM(A102:A120)</f>
        <v>350</v>
      </c>
      <c r="C121" s="3">
        <v>20493682</v>
      </c>
      <c r="D121" s="22"/>
      <c r="E121" s="21">
        <f t="shared" ref="E121" si="50">+C121-H121-K121-N121</f>
        <v>14898106</v>
      </c>
      <c r="G121" s="2">
        <f>SUM(G102:G120)</f>
        <v>251</v>
      </c>
      <c r="H121" s="3">
        <v>3158247</v>
      </c>
      <c r="J121" s="2">
        <f>SUM(J102:J120)</f>
        <v>54</v>
      </c>
      <c r="K121" s="3">
        <v>1330388</v>
      </c>
      <c r="M121" s="2">
        <f>SUM(M102:M120)</f>
        <v>26</v>
      </c>
      <c r="N121" s="3">
        <v>1106941</v>
      </c>
      <c r="P121" s="2">
        <f>SUM(P102:P120)</f>
        <v>19</v>
      </c>
    </row>
    <row r="122" spans="1:16">
      <c r="B122" t="s">
        <v>59</v>
      </c>
      <c r="D122" s="22"/>
      <c r="E122" s="21"/>
    </row>
    <row r="123" spans="1:16">
      <c r="B123" t="s">
        <v>68</v>
      </c>
    </row>
    <row r="126" spans="1:16">
      <c r="A126" s="7" t="s">
        <v>70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C127" t="s">
        <v>2</v>
      </c>
      <c r="E127" t="s">
        <v>5</v>
      </c>
      <c r="H127" t="s">
        <v>7</v>
      </c>
      <c r="K127" t="s">
        <v>8</v>
      </c>
      <c r="N127" t="s">
        <v>9</v>
      </c>
    </row>
    <row r="128" spans="1:16">
      <c r="A128" t="s">
        <v>6</v>
      </c>
      <c r="C128" t="s">
        <v>3</v>
      </c>
      <c r="D128" t="s">
        <v>4</v>
      </c>
      <c r="E128" s="18" t="s">
        <v>3</v>
      </c>
      <c r="F128" s="18" t="s">
        <v>4</v>
      </c>
      <c r="G128" t="s">
        <v>6</v>
      </c>
      <c r="H128" t="s">
        <v>3</v>
      </c>
      <c r="I128" s="18" t="s">
        <v>4</v>
      </c>
      <c r="J128" t="s">
        <v>6</v>
      </c>
      <c r="K128" t="s">
        <v>3</v>
      </c>
      <c r="L128" s="18" t="s">
        <v>4</v>
      </c>
      <c r="M128" t="s">
        <v>6</v>
      </c>
      <c r="N128" t="s">
        <v>3</v>
      </c>
      <c r="O128" s="18" t="s">
        <v>4</v>
      </c>
      <c r="P128" t="s">
        <v>6</v>
      </c>
    </row>
    <row r="129" spans="1:16">
      <c r="A129" s="4">
        <f>+G129+J129+M129+P129</f>
        <v>148</v>
      </c>
      <c r="B129" t="s">
        <v>11</v>
      </c>
      <c r="C129" s="5">
        <v>9150083</v>
      </c>
      <c r="D129" s="6">
        <f t="shared" ref="D129:D143" si="51">+C129/C$144</f>
        <v>0.38784909068651802</v>
      </c>
      <c r="E129" s="20">
        <f t="shared" ref="E129:E133" si="52">+C129-H129-K129-N129</f>
        <v>7008904</v>
      </c>
      <c r="F129" s="12">
        <f>+E129/E$144</f>
        <v>0.40878925858120713</v>
      </c>
      <c r="G129" s="10">
        <v>114</v>
      </c>
      <c r="H129" s="19">
        <v>1277838</v>
      </c>
      <c r="I129" s="12">
        <f>+H129/H$144</f>
        <v>0.34873273615515171</v>
      </c>
      <c r="J129" s="10">
        <v>20</v>
      </c>
      <c r="K129" s="8">
        <v>569899</v>
      </c>
      <c r="L129" s="12">
        <f t="shared" ref="L129:L142" si="53">+K129/K$144</f>
        <v>0.35950556070727907</v>
      </c>
      <c r="M129" s="10">
        <v>9</v>
      </c>
      <c r="N129" s="19">
        <v>293442</v>
      </c>
      <c r="O129" s="12">
        <f t="shared" ref="O129:O143" si="54">+N129/N$144</f>
        <v>0.24517203868050486</v>
      </c>
      <c r="P129" s="10">
        <v>5</v>
      </c>
    </row>
    <row r="130" spans="1:16">
      <c r="A130" s="4">
        <f t="shared" ref="A130:A134" si="55">+G130+J130+M130+P130</f>
        <v>134</v>
      </c>
      <c r="B130" t="s">
        <v>71</v>
      </c>
      <c r="C130" s="5">
        <v>8201463</v>
      </c>
      <c r="D130" s="6">
        <f t="shared" si="51"/>
        <v>0.34763946587688027</v>
      </c>
      <c r="E130" s="11">
        <f t="shared" si="52"/>
        <v>6654248</v>
      </c>
      <c r="F130" s="12">
        <f>+E130/E$144</f>
        <v>0.38810420378642374</v>
      </c>
      <c r="G130" s="13">
        <v>109</v>
      </c>
      <c r="H130" s="11">
        <v>624493</v>
      </c>
      <c r="I130" s="12">
        <f>+H130/H$144</f>
        <v>0.17042939136239427</v>
      </c>
      <c r="J130" s="13">
        <v>10</v>
      </c>
      <c r="K130" s="20">
        <v>746964</v>
      </c>
      <c r="L130" s="12">
        <f t="shared" si="53"/>
        <v>0.47120228610359383</v>
      </c>
      <c r="M130" s="13">
        <v>12</v>
      </c>
      <c r="N130" s="11">
        <v>175758</v>
      </c>
      <c r="O130" s="12">
        <f t="shared" si="54"/>
        <v>0.14684655630212501</v>
      </c>
      <c r="P130" s="13">
        <v>3</v>
      </c>
    </row>
    <row r="131" spans="1:16">
      <c r="A131" s="4">
        <f t="shared" si="55"/>
        <v>36</v>
      </c>
      <c r="B131" t="s">
        <v>76</v>
      </c>
      <c r="C131" s="5">
        <v>2253722</v>
      </c>
      <c r="D131" s="6">
        <f t="shared" si="51"/>
        <v>9.5529628349841286E-2</v>
      </c>
      <c r="E131" s="11">
        <f t="shared" si="52"/>
        <v>1830101</v>
      </c>
      <c r="F131" s="12">
        <f>+E131/E$144</f>
        <v>0.10673931771910783</v>
      </c>
      <c r="G131" s="13">
        <v>30</v>
      </c>
      <c r="H131" s="11">
        <v>273444</v>
      </c>
      <c r="I131" s="12">
        <f>+H131/H$144</f>
        <v>7.4625167122287256E-2</v>
      </c>
      <c r="J131" s="13">
        <v>4</v>
      </c>
      <c r="K131" s="11">
        <v>74605</v>
      </c>
      <c r="L131" s="12">
        <f t="shared" si="53"/>
        <v>4.7062571361884395E-2</v>
      </c>
      <c r="M131" s="13">
        <v>1</v>
      </c>
      <c r="N131" s="11">
        <v>75572</v>
      </c>
      <c r="O131" s="12">
        <f t="shared" si="54"/>
        <v>6.3140727323161353E-2</v>
      </c>
      <c r="P131" s="13">
        <v>1</v>
      </c>
    </row>
    <row r="132" spans="1:16">
      <c r="A132" s="4">
        <f t="shared" si="55"/>
        <v>18</v>
      </c>
      <c r="B132" t="s">
        <v>25</v>
      </c>
      <c r="C132" s="5">
        <v>1165783</v>
      </c>
      <c r="D132" s="6">
        <f t="shared" si="51"/>
        <v>4.9414620226701886E-2</v>
      </c>
      <c r="E132" s="11"/>
      <c r="F132" s="12"/>
      <c r="G132" s="13"/>
      <c r="H132" s="11">
        <v>1165783</v>
      </c>
      <c r="I132" s="12">
        <f>+H132/H$144</f>
        <v>0.31815198433069075</v>
      </c>
      <c r="J132" s="13">
        <v>18</v>
      </c>
      <c r="K132" s="11"/>
      <c r="L132" s="12"/>
      <c r="M132" s="13"/>
      <c r="N132" s="11"/>
      <c r="O132" s="12"/>
      <c r="P132" s="13"/>
    </row>
    <row r="133" spans="1:16">
      <c r="A133" s="4">
        <f t="shared" si="55"/>
        <v>0</v>
      </c>
      <c r="B133" t="s">
        <v>72</v>
      </c>
      <c r="C133" s="5">
        <f>207077+144544+112341+10053</f>
        <v>474015</v>
      </c>
      <c r="D133" s="6">
        <f t="shared" si="51"/>
        <v>2.0092308094010716E-2</v>
      </c>
      <c r="E133" s="11">
        <f t="shared" si="52"/>
        <v>474015</v>
      </c>
      <c r="F133" s="12">
        <f t="shared" ref="F133:F139" si="56">+E133/E$144</f>
        <v>2.7646582176952473E-2</v>
      </c>
      <c r="G133" s="13"/>
      <c r="H133" s="11"/>
      <c r="I133" s="12"/>
      <c r="J133" s="13"/>
      <c r="K133" s="11"/>
      <c r="L133" s="12"/>
      <c r="M133" s="13"/>
      <c r="N133" s="11"/>
      <c r="O133" s="12"/>
      <c r="P133" s="13"/>
    </row>
    <row r="134" spans="1:16">
      <c r="A134" s="4">
        <f t="shared" si="55"/>
        <v>0</v>
      </c>
      <c r="B134" t="s">
        <v>43</v>
      </c>
      <c r="C134" s="5">
        <v>414740</v>
      </c>
      <c r="D134" s="6">
        <f t="shared" si="51"/>
        <v>1.7579789371454498E-2</v>
      </c>
      <c r="E134" s="11">
        <f t="shared" ref="E134" si="57">+C134-H134-K134-N134</f>
        <v>353558</v>
      </c>
      <c r="F134" s="12">
        <f t="shared" si="56"/>
        <v>2.062101473860313E-2</v>
      </c>
      <c r="G134" s="13"/>
      <c r="H134" s="11">
        <v>27756</v>
      </c>
      <c r="I134" s="12">
        <f>+H134/H$144</f>
        <v>7.5748458135713528E-3</v>
      </c>
      <c r="J134" s="13"/>
      <c r="K134" s="11">
        <v>24279</v>
      </c>
      <c r="L134" s="12">
        <f t="shared" si="53"/>
        <v>1.5315758596544351E-2</v>
      </c>
      <c r="M134" s="13"/>
      <c r="N134" s="24">
        <v>9147</v>
      </c>
      <c r="O134" s="12">
        <f t="shared" si="54"/>
        <v>7.6423573919567681E-3</v>
      </c>
      <c r="P134" s="13"/>
    </row>
    <row r="135" spans="1:16">
      <c r="A135" s="4">
        <f>+G135+J135+M135+P135</f>
        <v>5</v>
      </c>
      <c r="B135" t="s">
        <v>15</v>
      </c>
      <c r="C135" s="5">
        <v>291448</v>
      </c>
      <c r="D135" s="6">
        <f t="shared" si="51"/>
        <v>1.2353750428537567E-2</v>
      </c>
      <c r="E135" s="11">
        <f>+C135-H135-K135-N135</f>
        <v>3540</v>
      </c>
      <c r="F135" s="12">
        <f t="shared" si="56"/>
        <v>2.0646794069050929E-4</v>
      </c>
      <c r="G135" s="13"/>
      <c r="H135" s="11"/>
      <c r="I135" s="12"/>
      <c r="J135" s="13"/>
      <c r="K135" s="11"/>
      <c r="L135" s="12"/>
      <c r="M135" s="13"/>
      <c r="N135" s="11">
        <v>287908</v>
      </c>
      <c r="O135" s="12">
        <f t="shared" si="54"/>
        <v>0.24054835815059464</v>
      </c>
      <c r="P135" s="13">
        <v>5</v>
      </c>
    </row>
    <row r="136" spans="1:16">
      <c r="A136" s="4">
        <f>+G136+J136+M136+P136</f>
        <v>3</v>
      </c>
      <c r="B136" t="s">
        <v>27</v>
      </c>
      <c r="C136" s="5">
        <v>206876</v>
      </c>
      <c r="D136" s="6">
        <f t="shared" si="51"/>
        <v>8.7689552635603525E-3</v>
      </c>
      <c r="E136" s="11">
        <f>+C136-H136-K136-N136</f>
        <v>32221</v>
      </c>
      <c r="F136" s="12">
        <f t="shared" si="56"/>
        <v>1.8792665302228529E-3</v>
      </c>
      <c r="G136" s="13"/>
      <c r="H136" s="11"/>
      <c r="I136" s="12"/>
      <c r="J136" s="13"/>
      <c r="K136" s="11"/>
      <c r="L136" s="12"/>
      <c r="M136" s="13"/>
      <c r="N136" s="11">
        <v>174655</v>
      </c>
      <c r="O136" s="12">
        <f t="shared" si="54"/>
        <v>0.14592499511230012</v>
      </c>
      <c r="P136" s="13">
        <v>3</v>
      </c>
    </row>
    <row r="137" spans="1:16">
      <c r="A137" s="4">
        <f>+G137+J137+M137+P137</f>
        <v>2</v>
      </c>
      <c r="B137" t="s">
        <v>44</v>
      </c>
      <c r="C137" s="5">
        <v>189632</v>
      </c>
      <c r="D137" s="6">
        <f t="shared" si="51"/>
        <v>8.0380253124551753E-3</v>
      </c>
      <c r="E137" s="11">
        <f>+C137-H137-K137-N137</f>
        <v>2848</v>
      </c>
      <c r="F137" s="12">
        <f t="shared" si="56"/>
        <v>1.6610754098490691E-4</v>
      </c>
      <c r="G137" s="13"/>
      <c r="H137" s="11">
        <v>186784</v>
      </c>
      <c r="I137" s="12">
        <f>+H137/H$144</f>
        <v>5.0974924356611599E-2</v>
      </c>
      <c r="J137" s="13">
        <v>2</v>
      </c>
      <c r="K137" s="11"/>
      <c r="L137" s="12"/>
      <c r="M137" s="13"/>
      <c r="N137" s="11"/>
      <c r="O137" s="12"/>
      <c r="P137" s="13"/>
    </row>
    <row r="138" spans="1:16">
      <c r="A138" s="4">
        <f>+G138+J138+M138+P138</f>
        <v>0</v>
      </c>
      <c r="B138" t="s">
        <v>75</v>
      </c>
      <c r="C138" s="5">
        <v>185940</v>
      </c>
      <c r="D138" s="6">
        <f t="shared" si="51"/>
        <v>7.8815306836288977E-3</v>
      </c>
      <c r="E138" s="11">
        <f>+C138-H138-K138-N138</f>
        <v>131544</v>
      </c>
      <c r="F138" s="12">
        <f t="shared" si="56"/>
        <v>7.6722086977944496E-3</v>
      </c>
      <c r="G138" s="13"/>
      <c r="H138" s="11">
        <v>36683</v>
      </c>
      <c r="I138" s="12">
        <f>+H138/H$144</f>
        <v>1.0011099185013616E-2</v>
      </c>
      <c r="J138" s="13"/>
      <c r="K138" s="11">
        <v>5466</v>
      </c>
      <c r="L138" s="12">
        <f t="shared" si="53"/>
        <v>3.4480800893245773E-3</v>
      </c>
      <c r="M138" s="13"/>
      <c r="N138" s="11">
        <v>12247</v>
      </c>
      <c r="O138" s="12">
        <f t="shared" si="54"/>
        <v>1.0232420572788295E-2</v>
      </c>
      <c r="P138" s="13"/>
    </row>
    <row r="139" spans="1:16">
      <c r="A139" s="4">
        <f>+G139+J139+M139+P139</f>
        <v>2</v>
      </c>
      <c r="B139" t="s">
        <v>73</v>
      </c>
      <c r="C139" s="5">
        <v>129293</v>
      </c>
      <c r="D139" s="6">
        <f t="shared" si="51"/>
        <v>5.4804062960010285E-3</v>
      </c>
      <c r="E139" s="11">
        <f>+C139-H139-K139-N139</f>
        <v>11437</v>
      </c>
      <c r="F139" s="12">
        <f t="shared" si="56"/>
        <v>6.6705475640603236E-4</v>
      </c>
      <c r="G139" s="13"/>
      <c r="H139" s="11"/>
      <c r="I139" s="12"/>
      <c r="J139" s="13"/>
      <c r="K139" s="11"/>
      <c r="L139" s="12"/>
      <c r="M139" s="13"/>
      <c r="N139" s="11">
        <v>117856</v>
      </c>
      <c r="O139" s="12">
        <f t="shared" si="54"/>
        <v>9.8469189109703384E-2</v>
      </c>
      <c r="P139" s="13">
        <v>2</v>
      </c>
    </row>
    <row r="140" spans="1:16">
      <c r="A140" s="4">
        <f t="shared" ref="A140:A143" si="58">+G140+J140+M140+P140</f>
        <v>2</v>
      </c>
      <c r="B140" t="s">
        <v>58</v>
      </c>
      <c r="C140" s="5">
        <v>126695</v>
      </c>
      <c r="D140" s="6">
        <f t="shared" si="51"/>
        <v>5.370283585900631E-3</v>
      </c>
      <c r="E140" s="11"/>
      <c r="F140" s="12"/>
      <c r="G140" s="13"/>
      <c r="H140" s="11"/>
      <c r="I140" s="12"/>
      <c r="J140" s="13"/>
      <c r="K140" s="11">
        <v>126965</v>
      </c>
      <c r="L140" s="12">
        <f t="shared" si="53"/>
        <v>8.0092478693943467E-2</v>
      </c>
      <c r="M140" s="13">
        <v>2</v>
      </c>
      <c r="N140" s="11"/>
      <c r="O140" s="12"/>
      <c r="P140" s="13"/>
    </row>
    <row r="141" spans="1:16">
      <c r="A141" s="4">
        <f t="shared" si="58"/>
        <v>0</v>
      </c>
      <c r="B141" t="s">
        <v>55</v>
      </c>
      <c r="C141" s="5">
        <v>96513</v>
      </c>
      <c r="D141" s="6">
        <f t="shared" si="51"/>
        <v>4.0909442339952451E-3</v>
      </c>
      <c r="E141" s="11">
        <f t="shared" ref="E141:E142" si="59">+C141-H141-K141-N141</f>
        <v>96513</v>
      </c>
      <c r="F141" s="12">
        <f>+E141/E$144</f>
        <v>5.6290509491138761E-3</v>
      </c>
      <c r="G141" s="13"/>
      <c r="H141" s="11"/>
      <c r="I141" s="12"/>
      <c r="J141" s="13"/>
      <c r="K141" s="11"/>
      <c r="L141" s="12"/>
      <c r="M141" s="13"/>
      <c r="N141" s="11"/>
      <c r="O141" s="12"/>
      <c r="P141" s="13"/>
    </row>
    <row r="142" spans="1:16">
      <c r="A142" s="4">
        <f t="shared" si="58"/>
        <v>0</v>
      </c>
      <c r="B142" t="s">
        <v>74</v>
      </c>
      <c r="C142" s="5">
        <v>68851</v>
      </c>
      <c r="D142" s="6">
        <f t="shared" si="51"/>
        <v>2.9184213676375888E-3</v>
      </c>
      <c r="E142" s="11">
        <f t="shared" si="59"/>
        <v>46328</v>
      </c>
      <c r="F142" s="12">
        <f>+E142/E$144</f>
        <v>2.7020471063022356E-3</v>
      </c>
      <c r="G142" s="13"/>
      <c r="H142" s="11">
        <v>11846</v>
      </c>
      <c r="I142" s="12">
        <f>+H142/H$144</f>
        <v>3.2328730187190608E-3</v>
      </c>
      <c r="J142" s="13"/>
      <c r="K142" s="11">
        <v>4539</v>
      </c>
      <c r="L142" s="12">
        <f t="shared" si="53"/>
        <v>2.863306901837588E-3</v>
      </c>
      <c r="M142" s="13"/>
      <c r="N142" s="11">
        <v>6138</v>
      </c>
      <c r="O142" s="12">
        <f t="shared" ref="O142" si="60">+N142/N$144</f>
        <v>5.1283250980464238E-3</v>
      </c>
      <c r="P142" s="13"/>
    </row>
    <row r="143" spans="1:16">
      <c r="A143" s="4">
        <f t="shared" si="58"/>
        <v>0</v>
      </c>
      <c r="B143" t="s">
        <v>77</v>
      </c>
      <c r="C143" s="5">
        <v>16623</v>
      </c>
      <c r="D143" s="6">
        <f t="shared" si="51"/>
        <v>7.0460731716662998E-4</v>
      </c>
      <c r="E143" s="14"/>
      <c r="F143" s="15"/>
      <c r="G143" s="16"/>
      <c r="H143" s="14"/>
      <c r="I143" s="15"/>
      <c r="J143" s="16"/>
      <c r="K143" s="14"/>
      <c r="L143" s="15"/>
      <c r="M143" s="16"/>
      <c r="N143" s="14">
        <v>16623</v>
      </c>
      <c r="O143" s="15">
        <f t="shared" si="54"/>
        <v>1.3888587179020154E-2</v>
      </c>
      <c r="P143" s="16"/>
    </row>
    <row r="144" spans="1:16">
      <c r="A144" s="2">
        <f>SUM(A129:A143)</f>
        <v>350</v>
      </c>
      <c r="C144" s="3">
        <v>23591864</v>
      </c>
      <c r="D144" s="22"/>
      <c r="E144" s="21">
        <f t="shared" ref="E144" si="61">+C144-H144-K144-N144</f>
        <v>17145519</v>
      </c>
      <c r="G144" s="2">
        <f>SUM(G129:G143)</f>
        <v>253</v>
      </c>
      <c r="H144" s="3">
        <v>3664233</v>
      </c>
      <c r="J144" s="2">
        <f>SUM(J129:J143)</f>
        <v>54</v>
      </c>
      <c r="K144" s="3">
        <v>1585230</v>
      </c>
      <c r="M144" s="2">
        <f>SUM(M129:M143)</f>
        <v>24</v>
      </c>
      <c r="N144" s="3">
        <v>1196882</v>
      </c>
      <c r="P144" s="2">
        <f>SUM(P129:P143)</f>
        <v>19</v>
      </c>
    </row>
    <row r="145" spans="1:16">
      <c r="B145" t="s">
        <v>78</v>
      </c>
      <c r="D145" s="22"/>
      <c r="E145" s="21"/>
    </row>
    <row r="146" spans="1:16">
      <c r="B146" t="s">
        <v>79</v>
      </c>
    </row>
    <row r="147" spans="1:16">
      <c r="B147" t="s">
        <v>86</v>
      </c>
    </row>
    <row r="149" spans="1:16">
      <c r="A149" s="7" t="s">
        <v>80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>
      <c r="C150" t="s">
        <v>2</v>
      </c>
      <c r="E150" t="s">
        <v>5</v>
      </c>
      <c r="H150" t="s">
        <v>7</v>
      </c>
      <c r="K150" t="s">
        <v>8</v>
      </c>
      <c r="N150" t="s">
        <v>9</v>
      </c>
    </row>
    <row r="151" spans="1:16">
      <c r="A151" t="s">
        <v>6</v>
      </c>
      <c r="C151" t="s">
        <v>3</v>
      </c>
      <c r="D151" t="s">
        <v>4</v>
      </c>
      <c r="E151" s="18" t="s">
        <v>3</v>
      </c>
      <c r="F151" s="18" t="s">
        <v>4</v>
      </c>
      <c r="G151" t="s">
        <v>6</v>
      </c>
      <c r="H151" t="s">
        <v>3</v>
      </c>
      <c r="I151" s="18" t="s">
        <v>4</v>
      </c>
      <c r="J151" t="s">
        <v>6</v>
      </c>
      <c r="K151" t="s">
        <v>3</v>
      </c>
      <c r="L151" s="18" t="s">
        <v>4</v>
      </c>
      <c r="M151" t="s">
        <v>6</v>
      </c>
      <c r="N151" t="s">
        <v>3</v>
      </c>
      <c r="O151" s="18" t="s">
        <v>4</v>
      </c>
      <c r="P151" t="s">
        <v>6</v>
      </c>
    </row>
    <row r="152" spans="1:16">
      <c r="A152" s="4">
        <f>+G152+J152+M152+P152</f>
        <v>143</v>
      </c>
      <c r="B152" t="s">
        <v>81</v>
      </c>
      <c r="C152" s="5">
        <v>9716006</v>
      </c>
      <c r="D152" s="6">
        <f>+C152/C$166</f>
        <v>0.38792218052695737</v>
      </c>
      <c r="E152" s="20">
        <f t="shared" ref="E152:E154" si="62">+C152-H152-K152-N152</f>
        <v>7958915</v>
      </c>
      <c r="F152" s="12">
        <f>+E152/E$166</f>
        <v>0.43772316406335288</v>
      </c>
      <c r="G152" s="10">
        <v>118</v>
      </c>
      <c r="H152" s="23">
        <v>698400</v>
      </c>
      <c r="I152" s="12">
        <f>+H152/H$166</f>
        <v>0.17955439966125303</v>
      </c>
      <c r="J152" s="10">
        <v>10</v>
      </c>
      <c r="K152" s="19">
        <v>827405</v>
      </c>
      <c r="L152" s="12">
        <f t="shared" ref="L152:L165" si="63">+K152/K$166</f>
        <v>0.48306650210355101</v>
      </c>
      <c r="M152" s="10">
        <v>12</v>
      </c>
      <c r="N152" s="23">
        <v>231286</v>
      </c>
      <c r="O152" s="12">
        <f t="shared" ref="O152:O165" si="64">+N152/N$166</f>
        <v>0.1833714157954742</v>
      </c>
      <c r="P152" s="10">
        <v>3</v>
      </c>
    </row>
    <row r="153" spans="1:16">
      <c r="A153" s="4">
        <f t="shared" ref="A153:A157" si="65">+G153+J153+M153+P153</f>
        <v>140</v>
      </c>
      <c r="B153" t="s">
        <v>11</v>
      </c>
      <c r="C153" s="5">
        <v>9425678</v>
      </c>
      <c r="D153" s="6">
        <f t="shared" ref="D153:D165" si="66">+C153/C$166</f>
        <v>0.37633051715951704</v>
      </c>
      <c r="E153" s="11">
        <f t="shared" si="62"/>
        <v>7021545</v>
      </c>
      <c r="F153" s="12">
        <f>+E153/E$166</f>
        <v>0.38616983521161052</v>
      </c>
      <c r="G153" s="13">
        <v>104</v>
      </c>
      <c r="H153" s="20">
        <v>1531143</v>
      </c>
      <c r="I153" s="12">
        <f>+H153/H$166</f>
        <v>0.39364756895837621</v>
      </c>
      <c r="J153" s="13">
        <v>22</v>
      </c>
      <c r="K153" s="24">
        <v>574491</v>
      </c>
      <c r="L153" s="12">
        <f t="shared" si="63"/>
        <v>0.33540691421972446</v>
      </c>
      <c r="M153" s="13">
        <v>9</v>
      </c>
      <c r="N153" s="11">
        <v>298499</v>
      </c>
      <c r="O153" s="12">
        <f t="shared" si="64"/>
        <v>0.23666017071302736</v>
      </c>
      <c r="P153" s="13">
        <v>5</v>
      </c>
    </row>
    <row r="154" spans="1:16">
      <c r="A154" s="4">
        <f t="shared" si="65"/>
        <v>38</v>
      </c>
      <c r="B154" t="s">
        <v>83</v>
      </c>
      <c r="C154" s="5">
        <v>2639774</v>
      </c>
      <c r="D154" s="6">
        <f t="shared" si="66"/>
        <v>0.10539586803243724</v>
      </c>
      <c r="E154" s="11">
        <f t="shared" si="62"/>
        <v>2164403</v>
      </c>
      <c r="F154" s="12">
        <f>+E154/E$166</f>
        <v>0.11903749813488562</v>
      </c>
      <c r="G154" s="13">
        <v>32</v>
      </c>
      <c r="H154" s="11">
        <v>296985</v>
      </c>
      <c r="I154" s="12">
        <f>+H154/H$166</f>
        <v>7.6353040354234292E-2</v>
      </c>
      <c r="J154" s="13">
        <v>4</v>
      </c>
      <c r="K154" s="11">
        <v>62253</v>
      </c>
      <c r="L154" s="12">
        <f t="shared" si="63"/>
        <v>3.6345367692305897E-2</v>
      </c>
      <c r="M154" s="13"/>
      <c r="N154" s="11">
        <v>116133</v>
      </c>
      <c r="O154" s="12">
        <f t="shared" si="64"/>
        <v>9.207419658161671E-2</v>
      </c>
      <c r="P154" s="13">
        <v>2</v>
      </c>
    </row>
    <row r="155" spans="1:16">
      <c r="A155" s="4">
        <f t="shared" si="65"/>
        <v>16</v>
      </c>
      <c r="B155" t="s">
        <v>25</v>
      </c>
      <c r="C155" s="5">
        <v>1151633</v>
      </c>
      <c r="D155" s="6">
        <f t="shared" si="66"/>
        <v>4.5980208794313374E-2</v>
      </c>
      <c r="E155" s="11"/>
      <c r="F155" s="12"/>
      <c r="G155" s="13"/>
      <c r="H155" s="11">
        <v>1151633</v>
      </c>
      <c r="I155" s="12">
        <f>+H155/H$166</f>
        <v>0.29607785215505128</v>
      </c>
      <c r="J155" s="13">
        <v>16</v>
      </c>
      <c r="K155" s="11"/>
      <c r="L155" s="12"/>
      <c r="M155" s="13"/>
      <c r="N155" s="11"/>
      <c r="O155" s="12"/>
      <c r="P155" s="13"/>
    </row>
    <row r="156" spans="1:16">
      <c r="A156" s="4">
        <f t="shared" si="65"/>
        <v>5</v>
      </c>
      <c r="B156" t="s">
        <v>15</v>
      </c>
      <c r="C156" s="5">
        <v>318951</v>
      </c>
      <c r="D156" s="6">
        <f t="shared" si="66"/>
        <v>1.2734467990371104E-2</v>
      </c>
      <c r="E156" s="11">
        <f t="shared" ref="E156:E157" si="67">+C156-H156-K156-N156</f>
        <v>3158</v>
      </c>
      <c r="F156" s="12">
        <f>+E156/E$166</f>
        <v>1.7368319075050661E-4</v>
      </c>
      <c r="G156" s="13"/>
      <c r="H156" s="11"/>
      <c r="I156" s="12"/>
      <c r="J156" s="13"/>
      <c r="K156" s="11"/>
      <c r="L156" s="12"/>
      <c r="M156" s="13"/>
      <c r="N156" s="20">
        <v>315793</v>
      </c>
      <c r="O156" s="12">
        <f t="shared" si="64"/>
        <v>0.25037144275183182</v>
      </c>
      <c r="P156" s="13">
        <v>5</v>
      </c>
    </row>
    <row r="157" spans="1:16">
      <c r="A157" s="4">
        <f t="shared" si="65"/>
        <v>0</v>
      </c>
      <c r="B157" t="s">
        <v>85</v>
      </c>
      <c r="C157" s="5">
        <f>220418+91575+6943</f>
        <v>318936</v>
      </c>
      <c r="D157" s="6">
        <f t="shared" si="66"/>
        <v>1.2733869098943092E-2</v>
      </c>
      <c r="E157" s="11">
        <f t="shared" si="67"/>
        <v>318936</v>
      </c>
      <c r="F157" s="12">
        <f>+E157/E$166</f>
        <v>1.7540792313237359E-2</v>
      </c>
      <c r="G157" s="13"/>
      <c r="H157" s="11"/>
      <c r="I157" s="12"/>
      <c r="J157" s="13"/>
      <c r="K157" s="11"/>
      <c r="L157" s="12"/>
      <c r="M157" s="13"/>
      <c r="N157" s="24"/>
      <c r="O157" s="12"/>
      <c r="P157" s="13"/>
    </row>
    <row r="158" spans="1:16">
      <c r="A158" s="4">
        <f>+G158+J158+M158+P158</f>
        <v>3</v>
      </c>
      <c r="B158" t="s">
        <v>58</v>
      </c>
      <c r="C158" s="5">
        <v>220147</v>
      </c>
      <c r="D158" s="6">
        <f t="shared" si="66"/>
        <v>8.7896100801572261E-3</v>
      </c>
      <c r="E158" s="11"/>
      <c r="F158" s="12"/>
      <c r="G158" s="13"/>
      <c r="H158" s="11"/>
      <c r="I158" s="12"/>
      <c r="J158" s="13"/>
      <c r="K158" s="11">
        <v>220147</v>
      </c>
      <c r="L158" s="12">
        <f t="shared" si="63"/>
        <v>0.12852912568644187</v>
      </c>
      <c r="M158" s="13">
        <v>3</v>
      </c>
      <c r="N158" s="11"/>
      <c r="O158" s="12"/>
      <c r="P158" s="13"/>
    </row>
    <row r="159" spans="1:16">
      <c r="A159" s="4">
        <f>+G159+J159+M159+P159</f>
        <v>2</v>
      </c>
      <c r="B159" t="s">
        <v>27</v>
      </c>
      <c r="C159" s="5">
        <v>181304</v>
      </c>
      <c r="D159" s="6">
        <f t="shared" si="66"/>
        <v>7.2387607642748963E-3</v>
      </c>
      <c r="E159" s="11">
        <f t="shared" ref="E159:E164" si="68">+C159-H159-K159-N159</f>
        <v>26451</v>
      </c>
      <c r="F159" s="12">
        <f t="shared" ref="F159:F165" si="69">+E159/E$166</f>
        <v>1.4547479666059693E-3</v>
      </c>
      <c r="G159" s="13"/>
      <c r="H159" s="11"/>
      <c r="I159" s="12"/>
      <c r="J159" s="13"/>
      <c r="K159" s="11"/>
      <c r="L159" s="12"/>
      <c r="M159" s="13"/>
      <c r="N159" s="11">
        <v>154853</v>
      </c>
      <c r="O159" s="12">
        <f t="shared" si="64"/>
        <v>0.12277273094859423</v>
      </c>
      <c r="P159" s="13">
        <v>2</v>
      </c>
    </row>
    <row r="160" spans="1:16">
      <c r="A160" s="4">
        <f>+G160+J160+M160+P160</f>
        <v>2</v>
      </c>
      <c r="B160" t="s">
        <v>44</v>
      </c>
      <c r="C160" s="5">
        <v>167641</v>
      </c>
      <c r="D160" s="6">
        <f t="shared" si="66"/>
        <v>6.6932505255471913E-3</v>
      </c>
      <c r="E160" s="11">
        <f t="shared" si="68"/>
        <v>5096</v>
      </c>
      <c r="F160" s="12">
        <f t="shared" si="69"/>
        <v>2.8026901205338247E-4</v>
      </c>
      <c r="G160" s="13"/>
      <c r="H160" s="11">
        <v>162545</v>
      </c>
      <c r="I160" s="12">
        <f>+H160/H$166</f>
        <v>4.1789332607300077E-2</v>
      </c>
      <c r="J160" s="13">
        <v>2</v>
      </c>
      <c r="K160" s="11"/>
      <c r="L160" s="12"/>
      <c r="M160" s="13"/>
      <c r="N160" s="11"/>
      <c r="O160" s="12"/>
      <c r="P160" s="13"/>
    </row>
    <row r="161" spans="1:16">
      <c r="A161" s="4">
        <f>+G161+J161+M161+P161</f>
        <v>0</v>
      </c>
      <c r="B161" t="s">
        <v>55</v>
      </c>
      <c r="C161" s="5">
        <v>134800</v>
      </c>
      <c r="D161" s="6">
        <f t="shared" si="66"/>
        <v>5.3820376330597011E-3</v>
      </c>
      <c r="E161" s="11">
        <f t="shared" si="68"/>
        <v>134800</v>
      </c>
      <c r="F161" s="12">
        <f t="shared" si="69"/>
        <v>7.4137093455251086E-3</v>
      </c>
      <c r="G161" s="13"/>
      <c r="H161" s="11"/>
      <c r="I161" s="12"/>
      <c r="J161" s="13"/>
      <c r="K161" s="11"/>
      <c r="L161" s="12"/>
      <c r="M161" s="13"/>
      <c r="N161" s="11"/>
      <c r="O161" s="12"/>
      <c r="P161" s="13"/>
    </row>
    <row r="162" spans="1:16">
      <c r="A162" s="4">
        <f>+G162+J162+M162+P162</f>
        <v>1</v>
      </c>
      <c r="B162" t="s">
        <v>82</v>
      </c>
      <c r="C162" s="5">
        <v>115861</v>
      </c>
      <c r="D162" s="6">
        <f t="shared" si="66"/>
        <v>4.6258773160528935E-3</v>
      </c>
      <c r="E162" s="11">
        <f t="shared" si="68"/>
        <v>12233</v>
      </c>
      <c r="F162" s="12">
        <f t="shared" si="69"/>
        <v>6.727886233220227E-4</v>
      </c>
      <c r="G162" s="13"/>
      <c r="H162" s="11"/>
      <c r="I162" s="12"/>
      <c r="J162" s="13"/>
      <c r="K162" s="11"/>
      <c r="L162" s="12"/>
      <c r="M162" s="13"/>
      <c r="N162" s="11">
        <v>103628</v>
      </c>
      <c r="O162" s="12">
        <f t="shared" si="64"/>
        <v>8.2159806802199004E-2</v>
      </c>
      <c r="P162" s="13">
        <v>1</v>
      </c>
    </row>
    <row r="163" spans="1:16">
      <c r="A163" s="4">
        <f t="shared" ref="A163:A165" si="70">+G163+J163+M163+P163</f>
        <v>0</v>
      </c>
      <c r="B163" t="s">
        <v>84</v>
      </c>
      <c r="C163" s="5">
        <v>61689</v>
      </c>
      <c r="D163" s="6">
        <f t="shared" si="66"/>
        <v>2.4630008868384264E-3</v>
      </c>
      <c r="E163" s="11">
        <f t="shared" si="68"/>
        <v>41234</v>
      </c>
      <c r="F163" s="12">
        <f t="shared" si="69"/>
        <v>2.2677810916423022E-3</v>
      </c>
      <c r="G163" s="13"/>
      <c r="H163" s="11">
        <v>7828</v>
      </c>
      <c r="I163" s="12">
        <f>+H163/H$166</f>
        <v>2.0125312722627272E-3</v>
      </c>
      <c r="J163" s="13"/>
      <c r="K163" s="11">
        <v>6596</v>
      </c>
      <c r="L163" s="12">
        <f t="shared" si="63"/>
        <v>3.8509637334497885E-3</v>
      </c>
      <c r="M163" s="13"/>
      <c r="N163" s="11">
        <v>6031</v>
      </c>
      <c r="O163" s="12">
        <f t="shared" si="64"/>
        <v>4.7815821479142914E-3</v>
      </c>
      <c r="P163" s="13"/>
    </row>
    <row r="164" spans="1:16">
      <c r="A164" s="4">
        <f t="shared" si="70"/>
        <v>0</v>
      </c>
      <c r="B164" t="s">
        <v>89</v>
      </c>
      <c r="C164" s="5">
        <v>49739</v>
      </c>
      <c r="D164" s="6">
        <f t="shared" si="66"/>
        <v>1.985884049189588E-3</v>
      </c>
      <c r="E164" s="11">
        <f t="shared" si="68"/>
        <v>49739</v>
      </c>
      <c r="F164" s="12">
        <f t="shared" si="69"/>
        <v>2.735537753242384E-3</v>
      </c>
      <c r="G164" s="13"/>
      <c r="H164" s="11"/>
      <c r="I164" s="12"/>
      <c r="J164" s="13"/>
      <c r="K164" s="11"/>
      <c r="L164" s="12"/>
      <c r="M164" s="13"/>
      <c r="N164" s="11"/>
      <c r="O164" s="12"/>
      <c r="P164" s="13"/>
    </row>
    <row r="165" spans="1:16">
      <c r="A165" s="4">
        <f t="shared" si="70"/>
        <v>0</v>
      </c>
      <c r="B165" t="s">
        <v>90</v>
      </c>
      <c r="C165" s="5">
        <v>44771</v>
      </c>
      <c r="D165" s="6">
        <f t="shared" si="66"/>
        <v>1.7875312082323137E-3</v>
      </c>
      <c r="E165" s="14">
        <f t="shared" ref="E165" si="71">+C165-H165-K165-N165</f>
        <v>38527</v>
      </c>
      <c r="F165" s="15">
        <f t="shared" si="69"/>
        <v>2.1189019284498949E-3</v>
      </c>
      <c r="G165" s="16"/>
      <c r="H165" s="14">
        <v>2752</v>
      </c>
      <c r="I165" s="15">
        <f>+H165/H$166</f>
        <v>7.0752249121959964E-4</v>
      </c>
      <c r="J165" s="16"/>
      <c r="K165" s="14">
        <v>2613</v>
      </c>
      <c r="L165" s="15">
        <f t="shared" si="63"/>
        <v>1.5255561303068978E-3</v>
      </c>
      <c r="M165" s="16"/>
      <c r="N165" s="14">
        <v>879</v>
      </c>
      <c r="O165" s="15">
        <f t="shared" si="64"/>
        <v>6.9690112883711859E-4</v>
      </c>
      <c r="P165" s="16"/>
    </row>
    <row r="166" spans="1:16">
      <c r="A166" s="2">
        <f>SUM(A152:A165)</f>
        <v>350</v>
      </c>
      <c r="C166" s="3">
        <v>25046276</v>
      </c>
      <c r="D166" s="22"/>
      <c r="E166" s="21">
        <f t="shared" ref="E166" si="72">+C166-H166-K166-N166</f>
        <v>18182531</v>
      </c>
      <c r="G166" s="2">
        <f>SUM(G152:G165)</f>
        <v>254</v>
      </c>
      <c r="H166" s="3">
        <v>3889629</v>
      </c>
      <c r="J166" s="2">
        <f>SUM(J152:J165)</f>
        <v>54</v>
      </c>
      <c r="K166" s="3">
        <v>1712818</v>
      </c>
      <c r="M166" s="2">
        <f>SUM(M152:M165)</f>
        <v>24</v>
      </c>
      <c r="N166" s="3">
        <v>1261298</v>
      </c>
      <c r="P166" s="2">
        <f>SUM(P152:P165)</f>
        <v>18</v>
      </c>
    </row>
    <row r="167" spans="1:16">
      <c r="B167" t="s">
        <v>87</v>
      </c>
      <c r="D167" s="22"/>
      <c r="E167" s="21"/>
    </row>
    <row r="168" spans="1:16">
      <c r="B168" t="s">
        <v>88</v>
      </c>
    </row>
    <row r="171" spans="1:16">
      <c r="A171" s="7" t="s">
        <v>91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>
      <c r="C172" t="s">
        <v>2</v>
      </c>
      <c r="E172" t="s">
        <v>5</v>
      </c>
      <c r="H172" t="s">
        <v>7</v>
      </c>
      <c r="K172" t="s">
        <v>8</v>
      </c>
      <c r="N172" t="s">
        <v>9</v>
      </c>
    </row>
    <row r="173" spans="1:16">
      <c r="A173" t="s">
        <v>6</v>
      </c>
      <c r="C173" t="s">
        <v>3</v>
      </c>
      <c r="D173" t="s">
        <v>4</v>
      </c>
      <c r="E173" s="18" t="s">
        <v>3</v>
      </c>
      <c r="F173" s="18" t="s">
        <v>4</v>
      </c>
      <c r="G173" t="s">
        <v>6</v>
      </c>
      <c r="H173" t="s">
        <v>3</v>
      </c>
      <c r="I173" s="18" t="s">
        <v>4</v>
      </c>
      <c r="J173" t="s">
        <v>6</v>
      </c>
      <c r="K173" t="s">
        <v>3</v>
      </c>
      <c r="L173" s="18" t="s">
        <v>4</v>
      </c>
      <c r="M173" t="s">
        <v>6</v>
      </c>
      <c r="N173" t="s">
        <v>3</v>
      </c>
      <c r="O173" s="18" t="s">
        <v>4</v>
      </c>
      <c r="P173" t="s">
        <v>6</v>
      </c>
    </row>
    <row r="174" spans="1:16">
      <c r="A174" s="4">
        <f>+G174+J174+M174+P174</f>
        <v>165</v>
      </c>
      <c r="B174" t="s">
        <v>92</v>
      </c>
      <c r="C174" s="5">
        <v>10321178</v>
      </c>
      <c r="D174" s="6">
        <f t="shared" ref="D174:D186" si="73">+C174/C$187</f>
        <v>0.44523773801215583</v>
      </c>
      <c r="E174" s="20">
        <f t="shared" ref="E174:E176" si="74">+C174-H174-K174-N174</f>
        <v>8341533</v>
      </c>
      <c r="F174" s="12">
        <f>+E174/E$187</f>
        <v>0.49006562793805414</v>
      </c>
      <c r="G174" s="10">
        <v>132</v>
      </c>
      <c r="H174" s="23">
        <v>768318</v>
      </c>
      <c r="I174" s="12">
        <f>+H174/H$187</f>
        <v>0.22790151610430723</v>
      </c>
      <c r="J174" s="10">
        <v>13</v>
      </c>
      <c r="K174" s="19">
        <v>888092</v>
      </c>
      <c r="L174" s="12">
        <f>+K174/K$187</f>
        <v>0.53985878805746956</v>
      </c>
      <c r="M174" s="10">
        <v>14</v>
      </c>
      <c r="N174" s="23">
        <v>323235</v>
      </c>
      <c r="O174" s="12">
        <f>+N174/N$187</f>
        <v>0.28262219113403864</v>
      </c>
      <c r="P174" s="10">
        <v>6</v>
      </c>
    </row>
    <row r="175" spans="1:16">
      <c r="A175" s="4">
        <f t="shared" ref="A175:A179" si="75">+G175+J175+M175+P175</f>
        <v>127</v>
      </c>
      <c r="B175" t="s">
        <v>93</v>
      </c>
      <c r="C175" s="5">
        <v>7918752</v>
      </c>
      <c r="D175" s="6">
        <f t="shared" si="73"/>
        <v>0.34160124245112672</v>
      </c>
      <c r="E175" s="11">
        <f t="shared" si="74"/>
        <v>6111637</v>
      </c>
      <c r="F175" s="12">
        <f>+E175/E$187</f>
        <v>0.35905908711677403</v>
      </c>
      <c r="G175" s="13">
        <v>97</v>
      </c>
      <c r="H175" s="20">
        <v>1150533</v>
      </c>
      <c r="I175" s="12">
        <f>+H175/H$187</f>
        <v>0.34127563720755844</v>
      </c>
      <c r="J175" s="13">
        <v>20</v>
      </c>
      <c r="K175" s="24">
        <v>389999</v>
      </c>
      <c r="L175" s="12">
        <f>+K175/K$187</f>
        <v>0.23707497363294014</v>
      </c>
      <c r="M175" s="13">
        <v>6</v>
      </c>
      <c r="N175" s="11">
        <v>266583</v>
      </c>
      <c r="O175" s="12">
        <f>+N175/N$187</f>
        <v>0.23308822243595348</v>
      </c>
      <c r="P175" s="13">
        <v>4</v>
      </c>
    </row>
    <row r="176" spans="1:16">
      <c r="A176" s="4">
        <f t="shared" si="75"/>
        <v>18</v>
      </c>
      <c r="B176" t="s">
        <v>94</v>
      </c>
      <c r="C176" s="5">
        <v>1263043</v>
      </c>
      <c r="D176" s="6">
        <f t="shared" si="73"/>
        <v>5.4485486863232797E-2</v>
      </c>
      <c r="E176" s="11">
        <f t="shared" si="74"/>
        <v>1104532</v>
      </c>
      <c r="F176" s="12">
        <f>+E176/E$187</f>
        <v>6.4891329706143322E-2</v>
      </c>
      <c r="G176" s="13">
        <v>17</v>
      </c>
      <c r="H176" s="11">
        <v>75091</v>
      </c>
      <c r="I176" s="12">
        <f>+H176/H$187</f>
        <v>2.2273788647133783E-2</v>
      </c>
      <c r="J176" s="13"/>
      <c r="K176" s="11">
        <v>21127</v>
      </c>
      <c r="L176" s="12">
        <f>+K176/K$187</f>
        <v>1.2842809771161276E-2</v>
      </c>
      <c r="M176" s="13"/>
      <c r="N176" s="11">
        <v>62293</v>
      </c>
      <c r="O176" s="12">
        <f>+N176/N$187</f>
        <v>5.4466206172947451E-2</v>
      </c>
      <c r="P176" s="13">
        <v>1</v>
      </c>
    </row>
    <row r="177" spans="1:16">
      <c r="A177" s="4">
        <f t="shared" si="75"/>
        <v>16</v>
      </c>
      <c r="B177" t="s">
        <v>25</v>
      </c>
      <c r="C177" s="5">
        <v>970421</v>
      </c>
      <c r="D177" s="6">
        <f t="shared" si="73"/>
        <v>4.1862280735735231E-2</v>
      </c>
      <c r="E177" s="11"/>
      <c r="F177" s="12"/>
      <c r="G177" s="13"/>
      <c r="H177" s="11">
        <v>970421</v>
      </c>
      <c r="I177" s="12">
        <f>+H177/H$187</f>
        <v>0.28785010524217564</v>
      </c>
      <c r="J177" s="13">
        <v>16</v>
      </c>
      <c r="K177" s="11"/>
      <c r="L177" s="12"/>
      <c r="M177" s="13"/>
      <c r="N177" s="11"/>
      <c r="O177" s="12"/>
      <c r="P177" s="13"/>
    </row>
    <row r="178" spans="1:16">
      <c r="A178" s="4">
        <f t="shared" si="75"/>
        <v>8</v>
      </c>
      <c r="B178" t="s">
        <v>95</v>
      </c>
      <c r="C178" s="5">
        <f>248261+206255+57830+38883</f>
        <v>551229</v>
      </c>
      <c r="D178" s="6">
        <f t="shared" si="73"/>
        <v>2.3779064084225914E-2</v>
      </c>
      <c r="E178" s="11">
        <f t="shared" ref="E178:E179" si="76">+C178-H178-K178-N178</f>
        <v>551229</v>
      </c>
      <c r="F178" s="12">
        <f>+E178/E$187</f>
        <v>3.2384741032933116E-2</v>
      </c>
      <c r="G178" s="13">
        <v>8</v>
      </c>
      <c r="H178" s="11"/>
      <c r="I178" s="12"/>
      <c r="J178" s="13"/>
      <c r="K178" s="11"/>
      <c r="L178" s="12"/>
      <c r="M178" s="13"/>
      <c r="N178" s="20"/>
      <c r="O178" s="12"/>
      <c r="P178" s="13"/>
    </row>
    <row r="179" spans="1:16">
      <c r="A179" s="4">
        <f t="shared" si="75"/>
        <v>6</v>
      </c>
      <c r="B179" t="s">
        <v>15</v>
      </c>
      <c r="C179" s="5">
        <v>353953</v>
      </c>
      <c r="D179" s="6">
        <f t="shared" si="73"/>
        <v>1.5268919214707527E-2</v>
      </c>
      <c r="E179" s="11">
        <f t="shared" si="76"/>
        <v>6536</v>
      </c>
      <c r="F179" s="12">
        <f>+E179/E$187</f>
        <v>3.8399044206899644E-4</v>
      </c>
      <c r="G179" s="13"/>
      <c r="H179" s="11"/>
      <c r="I179" s="12"/>
      <c r="J179" s="13"/>
      <c r="K179" s="11"/>
      <c r="L179" s="12"/>
      <c r="M179" s="13"/>
      <c r="N179" s="20">
        <v>347417</v>
      </c>
      <c r="O179" s="12">
        <f>+N179/N$187</f>
        <v>0.30376584768733061</v>
      </c>
      <c r="P179" s="13">
        <v>6</v>
      </c>
    </row>
    <row r="180" spans="1:16">
      <c r="A180" s="4">
        <f t="shared" ref="A180:A186" si="77">+G180+J180+M180+P180</f>
        <v>4</v>
      </c>
      <c r="B180" t="s">
        <v>58</v>
      </c>
      <c r="C180" s="5">
        <v>306268</v>
      </c>
      <c r="D180" s="6">
        <f t="shared" si="73"/>
        <v>1.3211870926507318E-2</v>
      </c>
      <c r="E180" s="11"/>
      <c r="F180" s="12"/>
      <c r="G180" s="13"/>
      <c r="H180" s="11"/>
      <c r="I180" s="12"/>
      <c r="J180" s="13"/>
      <c r="K180" s="11">
        <v>306268</v>
      </c>
      <c r="L180" s="12">
        <f>+K180/K$187</f>
        <v>0.18617606205301374</v>
      </c>
      <c r="M180" s="13">
        <v>4</v>
      </c>
      <c r="N180" s="11"/>
      <c r="O180" s="12"/>
      <c r="P180" s="13"/>
    </row>
    <row r="181" spans="1:16">
      <c r="A181" s="4">
        <f t="shared" si="77"/>
        <v>3</v>
      </c>
      <c r="B181" t="s">
        <v>44</v>
      </c>
      <c r="C181" s="5">
        <v>194715</v>
      </c>
      <c r="D181" s="6">
        <f t="shared" si="73"/>
        <v>8.3996677663186244E-3</v>
      </c>
      <c r="E181" s="11">
        <f t="shared" ref="E181:E187" si="78">+C181-H181-K181-N181</f>
        <v>4423</v>
      </c>
      <c r="F181" s="12">
        <f>+E181/E$187</f>
        <v>2.5985154915409597E-4</v>
      </c>
      <c r="G181" s="13"/>
      <c r="H181" s="11">
        <v>190292</v>
      </c>
      <c r="I181" s="12">
        <f>+H181/H$187</f>
        <v>5.6445163724552633E-2</v>
      </c>
      <c r="J181" s="13">
        <v>3</v>
      </c>
      <c r="K181" s="11"/>
      <c r="L181" s="12"/>
      <c r="M181" s="13"/>
      <c r="N181" s="11"/>
      <c r="O181" s="12"/>
      <c r="P181" s="13"/>
    </row>
    <row r="182" spans="1:16">
      <c r="A182" s="4">
        <f t="shared" si="77"/>
        <v>0</v>
      </c>
      <c r="B182" t="s">
        <v>98</v>
      </c>
      <c r="C182" s="5">
        <v>129471</v>
      </c>
      <c r="D182" s="6">
        <f t="shared" si="73"/>
        <v>5.5851546381790748E-3</v>
      </c>
      <c r="E182" s="11">
        <f>+C182-H182-K182-N182</f>
        <v>129471</v>
      </c>
      <c r="F182" s="12">
        <f>+E182/E$187</f>
        <v>7.6064300069025453E-3</v>
      </c>
      <c r="G182" s="13"/>
      <c r="H182" s="11"/>
      <c r="I182" s="12"/>
      <c r="J182" s="13"/>
      <c r="K182" s="11"/>
      <c r="L182" s="12"/>
      <c r="M182" s="13"/>
      <c r="N182" s="11"/>
      <c r="O182" s="12"/>
      <c r="P182" s="13"/>
    </row>
    <row r="183" spans="1:16">
      <c r="A183" s="4">
        <f t="shared" si="77"/>
        <v>2</v>
      </c>
      <c r="B183" t="s">
        <v>96</v>
      </c>
      <c r="C183" s="5">
        <v>119290</v>
      </c>
      <c r="D183" s="6">
        <f t="shared" si="73"/>
        <v>5.1459639362357737E-3</v>
      </c>
      <c r="E183" s="11"/>
      <c r="F183" s="12"/>
      <c r="G183" s="13"/>
      <c r="H183" s="11">
        <v>119290</v>
      </c>
      <c r="I183" s="12">
        <f>+H183/H$187</f>
        <v>3.538427038815023E-2</v>
      </c>
      <c r="J183" s="13">
        <v>2</v>
      </c>
      <c r="K183" s="11"/>
      <c r="L183" s="12"/>
      <c r="M183" s="13"/>
      <c r="N183" s="11"/>
      <c r="O183" s="12"/>
      <c r="P183" s="13"/>
    </row>
    <row r="184" spans="1:16">
      <c r="A184" s="4">
        <f t="shared" si="77"/>
        <v>1</v>
      </c>
      <c r="B184" t="s">
        <v>82</v>
      </c>
      <c r="C184" s="5">
        <v>100742</v>
      </c>
      <c r="D184" s="6">
        <f t="shared" si="73"/>
        <v>4.3458353496878561E-3</v>
      </c>
      <c r="E184" s="11">
        <f>+C184-H184-K184-N184</f>
        <v>14185</v>
      </c>
      <c r="F184" s="12">
        <f>+E184/E$187</f>
        <v>8.3336970941687793E-4</v>
      </c>
      <c r="G184" s="13"/>
      <c r="H184" s="11"/>
      <c r="I184" s="12"/>
      <c r="J184" s="13"/>
      <c r="K184" s="11"/>
      <c r="L184" s="12"/>
      <c r="M184" s="13"/>
      <c r="N184" s="11">
        <v>86557</v>
      </c>
      <c r="O184" s="12">
        <f>+N184/N$187</f>
        <v>7.5681559849610919E-2</v>
      </c>
      <c r="P184" s="13">
        <v>1</v>
      </c>
    </row>
    <row r="185" spans="1:16">
      <c r="A185" s="4">
        <f t="shared" si="77"/>
        <v>0</v>
      </c>
      <c r="B185" t="s">
        <v>97</v>
      </c>
      <c r="C185" s="5">
        <v>78676</v>
      </c>
      <c r="D185" s="6">
        <f t="shared" si="73"/>
        <v>3.3939463378932495E-3</v>
      </c>
      <c r="E185" s="11">
        <f>+C185-H185-K185-N185</f>
        <v>75674</v>
      </c>
      <c r="F185" s="12">
        <f>+E185/E$187</f>
        <v>4.4458526182878265E-3</v>
      </c>
      <c r="G185" s="13"/>
      <c r="H185" s="11">
        <v>3002</v>
      </c>
      <c r="I185" s="12">
        <f>+H185/H$187</f>
        <v>8.9046508261570118E-4</v>
      </c>
      <c r="J185" s="13"/>
      <c r="K185" s="11"/>
      <c r="L185" s="12"/>
      <c r="M185" s="13"/>
      <c r="N185" s="11"/>
      <c r="O185" s="12"/>
      <c r="P185" s="13"/>
    </row>
    <row r="186" spans="1:16">
      <c r="A186" s="4">
        <f t="shared" si="77"/>
        <v>0</v>
      </c>
      <c r="B186" t="s">
        <v>89</v>
      </c>
      <c r="C186" s="5">
        <v>75356</v>
      </c>
      <c r="D186" s="6">
        <f t="shared" si="73"/>
        <v>3.2507272896217868E-3</v>
      </c>
      <c r="E186" s="14">
        <f>+C186-H186-K186-N186</f>
        <v>75356</v>
      </c>
      <c r="F186" s="15">
        <f>+E186/E$187</f>
        <v>4.4271700967795742E-3</v>
      </c>
      <c r="G186" s="16"/>
      <c r="H186" s="14"/>
      <c r="I186" s="15"/>
      <c r="J186" s="16"/>
      <c r="K186" s="14"/>
      <c r="L186" s="15"/>
      <c r="M186" s="16"/>
      <c r="N186" s="14"/>
      <c r="O186" s="15"/>
      <c r="P186" s="16"/>
    </row>
    <row r="187" spans="1:16">
      <c r="A187" s="2">
        <f>SUM(A174:A186)</f>
        <v>350</v>
      </c>
      <c r="C187" s="3">
        <v>23181274</v>
      </c>
      <c r="D187" s="22"/>
      <c r="E187" s="21">
        <f t="shared" si="78"/>
        <v>17021257</v>
      </c>
      <c r="G187" s="2">
        <f>SUM(G174:G186)</f>
        <v>254</v>
      </c>
      <c r="H187" s="3">
        <v>3371272</v>
      </c>
      <c r="J187" s="2">
        <f>SUM(J174:J186)</f>
        <v>54</v>
      </c>
      <c r="K187" s="3">
        <v>1645045</v>
      </c>
      <c r="M187" s="2">
        <f>SUM(M174:M186)</f>
        <v>24</v>
      </c>
      <c r="N187" s="3">
        <v>1143700</v>
      </c>
      <c r="P187" s="2">
        <f>SUM(P174:P186)</f>
        <v>18</v>
      </c>
    </row>
    <row r="188" spans="1:16">
      <c r="B188" t="s">
        <v>99</v>
      </c>
      <c r="D188" s="22"/>
      <c r="E188" s="21"/>
    </row>
    <row r="189" spans="1:16">
      <c r="B189" t="s">
        <v>100</v>
      </c>
    </row>
    <row r="192" spans="1:16">
      <c r="A192" s="7" t="s">
        <v>101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C193" t="s">
        <v>2</v>
      </c>
      <c r="E193" t="s">
        <v>5</v>
      </c>
      <c r="H193" t="s">
        <v>7</v>
      </c>
      <c r="K193" t="s">
        <v>8</v>
      </c>
      <c r="N193" t="s">
        <v>9</v>
      </c>
    </row>
    <row r="194" spans="1:16">
      <c r="A194" t="s">
        <v>6</v>
      </c>
      <c r="C194" t="s">
        <v>3</v>
      </c>
      <c r="D194" t="s">
        <v>4</v>
      </c>
      <c r="E194" s="18" t="s">
        <v>3</v>
      </c>
      <c r="F194" s="18" t="s">
        <v>4</v>
      </c>
      <c r="G194" t="s">
        <v>6</v>
      </c>
      <c r="H194" t="s">
        <v>3</v>
      </c>
      <c r="I194" s="18" t="s">
        <v>4</v>
      </c>
      <c r="J194" t="s">
        <v>6</v>
      </c>
      <c r="K194" t="s">
        <v>3</v>
      </c>
      <c r="L194" s="18" t="s">
        <v>4</v>
      </c>
      <c r="M194" t="s">
        <v>6</v>
      </c>
      <c r="N194" t="s">
        <v>3</v>
      </c>
      <c r="O194" s="18" t="s">
        <v>4</v>
      </c>
      <c r="P194" t="s">
        <v>6</v>
      </c>
    </row>
    <row r="195" spans="1:16">
      <c r="A195" s="4">
        <f>+G195+J195+M195+P195</f>
        <v>160</v>
      </c>
      <c r="B195" t="s">
        <v>102</v>
      </c>
      <c r="C195" s="5">
        <v>11026163</v>
      </c>
      <c r="D195" s="6">
        <f>+C195/C$208</f>
        <v>0.42586364631608481</v>
      </c>
      <c r="E195" s="20">
        <f t="shared" ref="E195:E203" si="79">+C195-H195-K195-N195</f>
        <v>8416980</v>
      </c>
      <c r="F195" s="12">
        <f>+E195/E$208</f>
        <v>0.44800898468531647</v>
      </c>
      <c r="G195" s="10">
        <v>124</v>
      </c>
      <c r="H195" s="19">
        <v>1586748</v>
      </c>
      <c r="I195" s="12">
        <f t="shared" ref="I195:I199" si="80">+H195/H$208</f>
        <v>0.39473572263906442</v>
      </c>
      <c r="J195" s="10">
        <v>22</v>
      </c>
      <c r="K195" s="23">
        <v>682684</v>
      </c>
      <c r="L195" s="12">
        <f t="shared" ref="L195:L202" si="81">+K195/K$208</f>
        <v>0.37189625229614681</v>
      </c>
      <c r="M195" s="10">
        <v>9</v>
      </c>
      <c r="N195" s="23">
        <v>339751</v>
      </c>
      <c r="O195" s="12">
        <f t="shared" ref="O195:O207" si="82">+N195/N$208</f>
        <v>0.27216724597998748</v>
      </c>
      <c r="P195" s="10">
        <v>5</v>
      </c>
    </row>
    <row r="196" spans="1:16">
      <c r="A196" s="4">
        <f t="shared" ref="A196:A207" si="83">+G196+J196+M196+P196</f>
        <v>141</v>
      </c>
      <c r="B196" t="s">
        <v>103</v>
      </c>
      <c r="C196" s="5">
        <v>9763144</v>
      </c>
      <c r="D196" s="6">
        <f t="shared" ref="D196:D207" si="84">+C196/C$208</f>
        <v>0.37708204598000278</v>
      </c>
      <c r="E196" s="11">
        <f t="shared" si="79"/>
        <v>8035792</v>
      </c>
      <c r="F196" s="12">
        <f t="shared" ref="F196:F206" si="85">+E196/E$208</f>
        <v>0.42771956391275595</v>
      </c>
      <c r="G196" s="13">
        <v>118</v>
      </c>
      <c r="H196" s="24">
        <v>626107</v>
      </c>
      <c r="I196" s="12">
        <f t="shared" si="80"/>
        <v>0.15575680517282942</v>
      </c>
      <c r="J196" s="13">
        <v>9</v>
      </c>
      <c r="K196" s="20">
        <v>865460</v>
      </c>
      <c r="L196" s="12">
        <f t="shared" si="81"/>
        <v>0.4714645875869703</v>
      </c>
      <c r="M196" s="13">
        <v>11</v>
      </c>
      <c r="N196" s="11">
        <v>235785</v>
      </c>
      <c r="O196" s="12">
        <f t="shared" si="82"/>
        <v>0.18888231114372392</v>
      </c>
      <c r="P196" s="13">
        <v>3</v>
      </c>
    </row>
    <row r="197" spans="1:16">
      <c r="A197" s="4">
        <f t="shared" si="83"/>
        <v>18</v>
      </c>
      <c r="B197" t="s">
        <v>106</v>
      </c>
      <c r="C197" s="5">
        <f>1284081+40289</f>
        <v>1324370</v>
      </c>
      <c r="D197" s="6">
        <f t="shared" si="84"/>
        <v>5.1151160859097877E-2</v>
      </c>
      <c r="E197" s="11">
        <f t="shared" si="79"/>
        <v>955330</v>
      </c>
      <c r="F197" s="12">
        <f t="shared" si="85"/>
        <v>5.0849167200043649E-2</v>
      </c>
      <c r="G197" s="13">
        <v>14</v>
      </c>
      <c r="H197" s="11">
        <v>234790</v>
      </c>
      <c r="I197" s="12">
        <f t="shared" si="80"/>
        <v>5.8408770843527733E-2</v>
      </c>
      <c r="J197" s="13">
        <v>3</v>
      </c>
      <c r="K197" s="11">
        <v>31908</v>
      </c>
      <c r="L197" s="12">
        <f t="shared" si="81"/>
        <v>1.7382076653715998E-2</v>
      </c>
      <c r="M197" s="13"/>
      <c r="N197" s="11">
        <v>102342</v>
      </c>
      <c r="O197" s="12">
        <f t="shared" si="82"/>
        <v>8.1983983235027647E-2</v>
      </c>
      <c r="P197" s="13">
        <v>1</v>
      </c>
    </row>
    <row r="198" spans="1:16">
      <c r="A198" s="4">
        <f t="shared" si="83"/>
        <v>12</v>
      </c>
      <c r="B198" t="s">
        <v>25</v>
      </c>
      <c r="C198" s="5">
        <v>835471</v>
      </c>
      <c r="D198" s="6">
        <f t="shared" si="84"/>
        <v>3.2268408008420124E-2</v>
      </c>
      <c r="E198" s="11"/>
      <c r="F198" s="12"/>
      <c r="G198" s="13"/>
      <c r="H198" s="11">
        <v>835471</v>
      </c>
      <c r="I198" s="12">
        <f t="shared" si="80"/>
        <v>0.20784034322336112</v>
      </c>
      <c r="J198" s="13">
        <v>12</v>
      </c>
      <c r="K198" s="11"/>
      <c r="L198" s="12"/>
      <c r="M198" s="13"/>
      <c r="N198" s="11"/>
      <c r="O198" s="12">
        <f t="shared" si="82"/>
        <v>0</v>
      </c>
      <c r="P198" s="13"/>
    </row>
    <row r="199" spans="1:16">
      <c r="A199" s="4">
        <f t="shared" si="83"/>
        <v>9</v>
      </c>
      <c r="B199" t="s">
        <v>104</v>
      </c>
      <c r="C199" s="5">
        <v>652196</v>
      </c>
      <c r="D199" s="6">
        <f t="shared" si="84"/>
        <v>2.5189775144151709E-2</v>
      </c>
      <c r="E199" s="11">
        <f t="shared" si="79"/>
        <v>13294</v>
      </c>
      <c r="F199" s="12">
        <f t="shared" si="85"/>
        <v>7.075971954794471E-4</v>
      </c>
      <c r="G199" s="13"/>
      <c r="H199" s="11">
        <v>638902</v>
      </c>
      <c r="I199" s="12">
        <f t="shared" si="80"/>
        <v>0.15893982073117063</v>
      </c>
      <c r="J199" s="13">
        <v>9</v>
      </c>
      <c r="K199" s="11"/>
      <c r="L199" s="12"/>
      <c r="M199" s="13"/>
      <c r="N199" s="20"/>
      <c r="O199" s="12">
        <f t="shared" si="82"/>
        <v>0</v>
      </c>
      <c r="P199" s="13"/>
    </row>
    <row r="200" spans="1:16">
      <c r="A200" s="4">
        <f t="shared" si="83"/>
        <v>0</v>
      </c>
      <c r="B200" t="s">
        <v>108</v>
      </c>
      <c r="C200" s="5">
        <f>235221+181868+36540+10558+5773+4292+3916</f>
        <v>478168</v>
      </c>
      <c r="D200" s="6">
        <f t="shared" si="84"/>
        <v>1.8468289289000139E-2</v>
      </c>
      <c r="E200" s="11">
        <f t="shared" si="79"/>
        <v>478168</v>
      </c>
      <c r="F200" s="12">
        <f t="shared" si="85"/>
        <v>2.5451356684821444E-2</v>
      </c>
      <c r="G200" s="13"/>
      <c r="H200" s="11"/>
      <c r="I200" s="12"/>
      <c r="J200" s="13"/>
      <c r="K200" s="11"/>
      <c r="L200" s="12"/>
      <c r="M200" s="13"/>
      <c r="N200" s="20"/>
      <c r="O200" s="12">
        <f t="shared" si="82"/>
        <v>0</v>
      </c>
      <c r="P200" s="13"/>
    </row>
    <row r="201" spans="1:16">
      <c r="A201" s="4">
        <f t="shared" si="83"/>
        <v>7</v>
      </c>
      <c r="B201" t="s">
        <v>15</v>
      </c>
      <c r="C201" s="5">
        <v>420980</v>
      </c>
      <c r="D201" s="6">
        <f t="shared" si="84"/>
        <v>1.6259516372662493E-2</v>
      </c>
      <c r="E201" s="26" t="s">
        <v>111</v>
      </c>
      <c r="F201" s="12"/>
      <c r="G201" s="13"/>
      <c r="H201" s="11"/>
      <c r="I201" s="12"/>
      <c r="J201" s="13"/>
      <c r="K201" s="11"/>
      <c r="L201" s="12"/>
      <c r="M201" s="13"/>
      <c r="N201" s="20">
        <v>420980</v>
      </c>
      <c r="O201" s="12">
        <f t="shared" si="82"/>
        <v>0.33723805732037615</v>
      </c>
      <c r="P201" s="13">
        <v>7</v>
      </c>
    </row>
    <row r="202" spans="1:16">
      <c r="A202" s="4">
        <f t="shared" si="83"/>
        <v>2</v>
      </c>
      <c r="B202" t="s">
        <v>58</v>
      </c>
      <c r="C202" s="5">
        <v>208688</v>
      </c>
      <c r="D202" s="6">
        <f t="shared" si="84"/>
        <v>8.0601595153646025E-3</v>
      </c>
      <c r="E202" s="11"/>
      <c r="F202" s="12"/>
      <c r="G202" s="13"/>
      <c r="H202" s="11"/>
      <c r="I202" s="12"/>
      <c r="J202" s="13"/>
      <c r="K202" s="11">
        <v>208688</v>
      </c>
      <c r="L202" s="12">
        <f t="shared" si="81"/>
        <v>0.11368405455405178</v>
      </c>
      <c r="M202" s="13">
        <v>2</v>
      </c>
      <c r="N202" s="11"/>
      <c r="O202" s="12">
        <f t="shared" si="82"/>
        <v>0</v>
      </c>
      <c r="P202" s="13"/>
    </row>
    <row r="203" spans="1:16">
      <c r="A203" s="4">
        <f t="shared" si="83"/>
        <v>0</v>
      </c>
      <c r="B203" t="s">
        <v>89</v>
      </c>
      <c r="C203" s="5">
        <v>94252</v>
      </c>
      <c r="D203" s="6">
        <f t="shared" si="84"/>
        <v>3.6402963018580103E-3</v>
      </c>
      <c r="E203" s="11">
        <f t="shared" si="79"/>
        <v>94252</v>
      </c>
      <c r="F203" s="12">
        <f t="shared" si="85"/>
        <v>5.0167331779997631E-3</v>
      </c>
      <c r="G203" s="13"/>
      <c r="H203" s="11"/>
      <c r="I203" s="12"/>
      <c r="J203" s="13"/>
      <c r="K203" s="11"/>
      <c r="L203" s="12"/>
      <c r="M203" s="13"/>
      <c r="N203" s="11"/>
      <c r="O203" s="12">
        <f t="shared" si="82"/>
        <v>0</v>
      </c>
      <c r="P203" s="13"/>
    </row>
    <row r="204" spans="1:16">
      <c r="A204" s="4">
        <f t="shared" si="83"/>
        <v>1</v>
      </c>
      <c r="B204" t="s">
        <v>82</v>
      </c>
      <c r="C204" s="5">
        <v>80905</v>
      </c>
      <c r="D204" s="6">
        <f t="shared" si="84"/>
        <v>3.1247949359358138E-3</v>
      </c>
      <c r="E204" s="26" t="s">
        <v>111</v>
      </c>
      <c r="F204" s="12"/>
      <c r="G204" s="13"/>
      <c r="H204" s="11"/>
      <c r="I204" s="12"/>
      <c r="J204" s="13"/>
      <c r="K204" s="11"/>
      <c r="L204" s="12"/>
      <c r="M204" s="13"/>
      <c r="N204" s="11">
        <v>80905</v>
      </c>
      <c r="O204" s="12">
        <f t="shared" si="82"/>
        <v>6.4811261882999266E-2</v>
      </c>
      <c r="P204" s="13">
        <v>1</v>
      </c>
    </row>
    <row r="205" spans="1:16">
      <c r="A205" s="4">
        <f t="shared" si="83"/>
        <v>0</v>
      </c>
      <c r="B205" t="s">
        <v>105</v>
      </c>
      <c r="C205" s="5">
        <v>68027</v>
      </c>
      <c r="D205" s="6">
        <f t="shared" si="84"/>
        <v>2.6274077635115951E-3</v>
      </c>
      <c r="E205" s="11">
        <f>+C205-H205-K205-N205</f>
        <v>37499</v>
      </c>
      <c r="F205" s="12">
        <f t="shared" si="85"/>
        <v>1.9959521011948087E-3</v>
      </c>
      <c r="G205" s="13"/>
      <c r="H205" s="11">
        <v>30528</v>
      </c>
      <c r="I205" s="12">
        <f>+H205/H$208</f>
        <v>7.5944586920704228E-3</v>
      </c>
      <c r="J205" s="13"/>
      <c r="K205" s="11"/>
      <c r="L205" s="12"/>
      <c r="M205" s="13"/>
      <c r="N205" s="11"/>
      <c r="O205" s="12">
        <f t="shared" si="82"/>
        <v>0</v>
      </c>
      <c r="P205" s="13"/>
    </row>
    <row r="206" spans="1:16">
      <c r="A206" s="4">
        <f t="shared" si="83"/>
        <v>0</v>
      </c>
      <c r="B206" t="s">
        <v>107</v>
      </c>
      <c r="C206" s="5">
        <v>61045</v>
      </c>
      <c r="D206" s="6">
        <f t="shared" si="84"/>
        <v>2.3577418807762406E-3</v>
      </c>
      <c r="E206" s="11">
        <f>+C206-H206-K206-N206</f>
        <v>61045</v>
      </c>
      <c r="F206" s="12">
        <f t="shared" si="85"/>
        <v>3.2492305399460545E-3</v>
      </c>
      <c r="G206" s="13"/>
      <c r="H206" s="11"/>
      <c r="I206" s="12"/>
      <c r="J206" s="13"/>
      <c r="K206" s="11"/>
      <c r="L206" s="12"/>
      <c r="M206" s="13"/>
      <c r="N206" s="11"/>
      <c r="O206" s="12">
        <f t="shared" si="82"/>
        <v>0</v>
      </c>
      <c r="P206" s="13"/>
    </row>
    <row r="207" spans="1:16">
      <c r="A207" s="4">
        <f t="shared" si="83"/>
        <v>0</v>
      </c>
      <c r="B207" t="s">
        <v>110</v>
      </c>
      <c r="C207" s="5">
        <v>38560</v>
      </c>
      <c r="D207" s="6">
        <f t="shared" si="84"/>
        <v>1.4893034142473888E-3</v>
      </c>
      <c r="E207" s="27" t="s">
        <v>111</v>
      </c>
      <c r="F207" s="15"/>
      <c r="G207" s="16"/>
      <c r="H207" s="14"/>
      <c r="I207" s="15"/>
      <c r="J207" s="16"/>
      <c r="K207" s="14"/>
      <c r="L207" s="15"/>
      <c r="M207" s="16"/>
      <c r="N207" s="14">
        <v>38560</v>
      </c>
      <c r="O207" s="15">
        <f t="shared" si="82"/>
        <v>3.0889589743630826E-2</v>
      </c>
      <c r="P207" s="16"/>
    </row>
    <row r="208" spans="1:16">
      <c r="A208" s="2">
        <f>SUM(A195:A207)</f>
        <v>350</v>
      </c>
      <c r="C208" s="3">
        <v>25891299</v>
      </c>
      <c r="D208" s="22"/>
      <c r="E208" s="21">
        <f t="shared" ref="E208" si="86">+C208-H208-K208-N208</f>
        <v>18787525</v>
      </c>
      <c r="G208" s="2">
        <f>SUM(G195:G207)</f>
        <v>256</v>
      </c>
      <c r="H208" s="3">
        <v>4019773</v>
      </c>
      <c r="J208" s="2">
        <f>SUM(J195:J207)</f>
        <v>55</v>
      </c>
      <c r="K208" s="3">
        <v>1835684</v>
      </c>
      <c r="M208" s="2">
        <f>SUM(M195:M207)</f>
        <v>22</v>
      </c>
      <c r="N208" s="3">
        <v>1248317</v>
      </c>
      <c r="P208" s="2">
        <f>SUM(P195:P207)</f>
        <v>17</v>
      </c>
    </row>
    <row r="209" spans="1:16">
      <c r="B209" t="s">
        <v>112</v>
      </c>
      <c r="D209" s="22"/>
      <c r="E209" s="21"/>
    </row>
    <row r="210" spans="1:16">
      <c r="B210" t="s">
        <v>113</v>
      </c>
    </row>
    <row r="211" spans="1:16">
      <c r="B211" t="s">
        <v>109</v>
      </c>
      <c r="N211" s="25"/>
    </row>
    <row r="214" spans="1:16">
      <c r="A214" s="7" t="s">
        <v>114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>
      <c r="C215" t="s">
        <v>2</v>
      </c>
      <c r="E215" t="s">
        <v>5</v>
      </c>
      <c r="H215" t="s">
        <v>7</v>
      </c>
      <c r="K215" t="s">
        <v>8</v>
      </c>
      <c r="N215" t="s">
        <v>9</v>
      </c>
    </row>
    <row r="216" spans="1:16">
      <c r="A216" t="s">
        <v>6</v>
      </c>
      <c r="C216" t="s">
        <v>3</v>
      </c>
      <c r="D216" t="s">
        <v>4</v>
      </c>
      <c r="E216" s="18" t="s">
        <v>3</v>
      </c>
      <c r="F216" s="18" t="s">
        <v>4</v>
      </c>
      <c r="G216" t="s">
        <v>6</v>
      </c>
      <c r="H216" t="s">
        <v>3</v>
      </c>
      <c r="I216" s="18" t="s">
        <v>4</v>
      </c>
      <c r="J216" t="s">
        <v>6</v>
      </c>
      <c r="K216" t="s">
        <v>3</v>
      </c>
      <c r="L216" s="18" t="s">
        <v>4</v>
      </c>
      <c r="M216" t="s">
        <v>6</v>
      </c>
      <c r="N216" t="s">
        <v>3</v>
      </c>
      <c r="O216" s="18" t="s">
        <v>4</v>
      </c>
      <c r="P216" t="s">
        <v>6</v>
      </c>
    </row>
    <row r="217" spans="1:16">
      <c r="A217" s="4">
        <f>+G217+J217+M217+P217</f>
        <v>166</v>
      </c>
      <c r="B217" t="s">
        <v>102</v>
      </c>
      <c r="C217" s="5">
        <v>11288698</v>
      </c>
      <c r="D217" s="6">
        <f t="shared" ref="D217:D229" si="87">+C217/C$231</f>
        <v>0.43865384805189972</v>
      </c>
      <c r="E217" s="24">
        <f t="shared" ref="E217:E229" si="88">+C217-H217-K217-N217</f>
        <v>8417605</v>
      </c>
      <c r="F217" s="12">
        <f>+E217/E$231</f>
        <v>0.44220245648740081</v>
      </c>
      <c r="G217" s="10">
        <v>122</v>
      </c>
      <c r="H217" s="19">
        <v>1689911</v>
      </c>
      <c r="I217" s="12">
        <f>+H217/H$231</f>
        <v>0.453859770356347</v>
      </c>
      <c r="J217" s="10">
        <v>27</v>
      </c>
      <c r="K217" s="23">
        <v>750492</v>
      </c>
      <c r="L217" s="12">
        <f>+K217/K$231</f>
        <v>0.40644293382897695</v>
      </c>
      <c r="M217" s="10">
        <v>9</v>
      </c>
      <c r="N217" s="19">
        <v>430690</v>
      </c>
      <c r="O217" s="12">
        <f t="shared" ref="O217:O230" si="89">+N217/N$231</f>
        <v>0.38137075286831645</v>
      </c>
      <c r="P217" s="10">
        <v>8</v>
      </c>
    </row>
    <row r="218" spans="1:16">
      <c r="A218" s="4">
        <f t="shared" ref="A218:A230" si="90">+G218+J218+M218+P218</f>
        <v>148</v>
      </c>
      <c r="B218" t="s">
        <v>71</v>
      </c>
      <c r="C218" s="5">
        <v>10277809</v>
      </c>
      <c r="D218" s="6">
        <f t="shared" si="87"/>
        <v>0.39937293631138393</v>
      </c>
      <c r="E218" s="20">
        <f t="shared" si="88"/>
        <v>8648213</v>
      </c>
      <c r="F218" s="12">
        <f t="shared" ref="F218:F229" si="91">+E218/E$231</f>
        <v>0.45431699786652779</v>
      </c>
      <c r="G218" s="13">
        <v>125</v>
      </c>
      <c r="H218" s="24">
        <v>610473</v>
      </c>
      <c r="I218" s="12">
        <f>+H218/H$231</f>
        <v>0.16395486838582046</v>
      </c>
      <c r="J218" s="13">
        <v>10</v>
      </c>
      <c r="K218" s="20">
        <v>809879</v>
      </c>
      <c r="L218" s="12">
        <f t="shared" ref="L218:L229" si="92">+K218/K$231</f>
        <v>0.43860507081551575</v>
      </c>
      <c r="M218" s="13">
        <v>10</v>
      </c>
      <c r="N218" s="11">
        <v>209244</v>
      </c>
      <c r="O218" s="12">
        <f t="shared" si="89"/>
        <v>0.18528301519231469</v>
      </c>
      <c r="P218" s="13">
        <v>3</v>
      </c>
    </row>
    <row r="219" spans="1:16">
      <c r="A219" s="4">
        <f t="shared" si="90"/>
        <v>13</v>
      </c>
      <c r="B219" t="s">
        <v>115</v>
      </c>
      <c r="C219" s="5">
        <v>969871</v>
      </c>
      <c r="D219" s="6">
        <f t="shared" si="87"/>
        <v>3.7687042940110896E-2</v>
      </c>
      <c r="E219" s="11">
        <f t="shared" si="88"/>
        <v>710822</v>
      </c>
      <c r="F219" s="12">
        <f t="shared" si="91"/>
        <v>3.7341647003546398E-2</v>
      </c>
      <c r="G219" s="13">
        <v>10</v>
      </c>
      <c r="H219" s="11">
        <v>183338</v>
      </c>
      <c r="I219" s="12">
        <f>+H219/H$231</f>
        <v>4.923912713603968E-2</v>
      </c>
      <c r="J219" s="13">
        <v>3</v>
      </c>
      <c r="K219" s="11">
        <v>25308</v>
      </c>
      <c r="L219" s="12">
        <f t="shared" si="92"/>
        <v>1.3706019210522896E-2</v>
      </c>
      <c r="M219" s="13"/>
      <c r="N219" s="11">
        <v>50403</v>
      </c>
      <c r="O219" s="12">
        <f t="shared" si="89"/>
        <v>4.4631243021249052E-2</v>
      </c>
      <c r="P219" s="13"/>
    </row>
    <row r="220" spans="1:16">
      <c r="A220" s="4">
        <f t="shared" si="90"/>
        <v>12</v>
      </c>
      <c r="B220" t="s">
        <v>25</v>
      </c>
      <c r="C220" s="5">
        <v>779425</v>
      </c>
      <c r="D220" s="6">
        <f t="shared" si="87"/>
        <v>3.0286732404202144E-2</v>
      </c>
      <c r="E220" s="11"/>
      <c r="F220" s="12"/>
      <c r="G220" s="13"/>
      <c r="H220" s="11">
        <v>779425</v>
      </c>
      <c r="I220" s="12">
        <f>+H220/H$231</f>
        <v>0.20933034432582295</v>
      </c>
      <c r="J220" s="13">
        <v>12</v>
      </c>
      <c r="K220" s="11"/>
      <c r="L220" s="12"/>
      <c r="M220" s="13"/>
      <c r="N220" s="11"/>
      <c r="O220" s="12"/>
      <c r="P220" s="13"/>
    </row>
    <row r="221" spans="1:16">
      <c r="A221" s="4">
        <f t="shared" si="90"/>
        <v>5</v>
      </c>
      <c r="B221" t="s">
        <v>15</v>
      </c>
      <c r="C221" s="5">
        <v>306128</v>
      </c>
      <c r="D221" s="6">
        <f t="shared" si="87"/>
        <v>1.189545731460191E-2</v>
      </c>
      <c r="E221" s="26" t="s">
        <v>111</v>
      </c>
      <c r="F221" s="12"/>
      <c r="G221" s="13"/>
      <c r="H221" s="11"/>
      <c r="I221" s="12"/>
      <c r="J221" s="13"/>
      <c r="K221" s="11"/>
      <c r="L221" s="12"/>
      <c r="M221" s="13"/>
      <c r="N221" s="24">
        <v>306128</v>
      </c>
      <c r="O221" s="12">
        <f t="shared" si="89"/>
        <v>0.2710726179713297</v>
      </c>
      <c r="P221" s="13">
        <v>5</v>
      </c>
    </row>
    <row r="222" spans="1:16">
      <c r="A222" s="4">
        <f t="shared" si="90"/>
        <v>0</v>
      </c>
      <c r="B222" t="s">
        <v>116</v>
      </c>
      <c r="C222" s="5">
        <v>306078</v>
      </c>
      <c r="D222" s="6">
        <f t="shared" si="87"/>
        <v>1.1893514425138254E-2</v>
      </c>
      <c r="E222" s="11">
        <f t="shared" si="88"/>
        <v>279080</v>
      </c>
      <c r="F222" s="12">
        <f t="shared" si="91"/>
        <v>1.4660923333478324E-2</v>
      </c>
      <c r="G222" s="13"/>
      <c r="H222" s="11">
        <v>6252</v>
      </c>
      <c r="I222" s="12">
        <f>+H222/H$231</f>
        <v>1.6791010202714116E-3</v>
      </c>
      <c r="J222" s="13"/>
      <c r="K222" s="11">
        <v>10110</v>
      </c>
      <c r="L222" s="12">
        <f t="shared" si="92"/>
        <v>5.4752589781249597E-3</v>
      </c>
      <c r="M222" s="13"/>
      <c r="N222" s="24">
        <v>10636</v>
      </c>
      <c r="O222" s="12">
        <f t="shared" si="89"/>
        <v>9.4180485442137349E-3</v>
      </c>
      <c r="P222" s="13"/>
    </row>
    <row r="223" spans="1:16">
      <c r="A223" s="4">
        <f t="shared" si="90"/>
        <v>4</v>
      </c>
      <c r="B223" t="s">
        <v>104</v>
      </c>
      <c r="C223" s="5">
        <v>298139</v>
      </c>
      <c r="D223" s="6">
        <f t="shared" si="87"/>
        <v>1.1585022436098949E-2</v>
      </c>
      <c r="E223" s="11">
        <f t="shared" si="88"/>
        <v>6607</v>
      </c>
      <c r="F223" s="12">
        <f t="shared" si="91"/>
        <v>3.4708585518235377E-4</v>
      </c>
      <c r="G223" s="13"/>
      <c r="H223" s="11">
        <v>291532</v>
      </c>
      <c r="I223" s="12">
        <f>+H223/H$231</f>
        <v>7.8296813602329679E-2</v>
      </c>
      <c r="J223" s="13">
        <v>4</v>
      </c>
      <c r="K223" s="11"/>
      <c r="L223" s="12"/>
      <c r="M223" s="13"/>
      <c r="N223" s="20"/>
      <c r="O223" s="12"/>
      <c r="P223" s="13"/>
    </row>
    <row r="224" spans="1:16">
      <c r="A224" s="4">
        <f t="shared" si="90"/>
        <v>0</v>
      </c>
      <c r="B224" t="s">
        <v>119</v>
      </c>
      <c r="C224" s="5">
        <f>174629+68679+40054+2346</f>
        <v>285708</v>
      </c>
      <c r="D224" s="6">
        <f t="shared" si="87"/>
        <v>1.1101981257644784E-2</v>
      </c>
      <c r="E224" s="11">
        <f t="shared" si="88"/>
        <v>285708</v>
      </c>
      <c r="F224" s="12">
        <f t="shared" si="91"/>
        <v>1.5009112382691075E-2</v>
      </c>
      <c r="G224" s="13"/>
      <c r="H224" s="11"/>
      <c r="I224" s="12"/>
      <c r="J224" s="13"/>
      <c r="K224" s="11"/>
      <c r="L224" s="12"/>
      <c r="M224" s="13"/>
      <c r="N224" s="11"/>
      <c r="O224" s="12"/>
      <c r="P224" s="13"/>
    </row>
    <row r="225" spans="1:16">
      <c r="A225" s="4">
        <f t="shared" si="90"/>
        <v>2</v>
      </c>
      <c r="B225" t="s">
        <v>58</v>
      </c>
      <c r="C225" s="5">
        <v>212543</v>
      </c>
      <c r="D225" s="6">
        <f t="shared" si="87"/>
        <v>8.2589511054769037E-3</v>
      </c>
      <c r="E225" s="11">
        <f t="shared" si="88"/>
        <v>0</v>
      </c>
      <c r="F225" s="12">
        <f t="shared" si="91"/>
        <v>0</v>
      </c>
      <c r="G225" s="13"/>
      <c r="H225" s="11"/>
      <c r="I225" s="12"/>
      <c r="J225" s="13"/>
      <c r="K225" s="11">
        <v>212543</v>
      </c>
      <c r="L225" s="12">
        <f t="shared" si="92"/>
        <v>0.11510662403438311</v>
      </c>
      <c r="M225" s="13">
        <v>2</v>
      </c>
      <c r="N225" s="11"/>
      <c r="O225" s="12"/>
      <c r="P225" s="13"/>
    </row>
    <row r="226" spans="1:16">
      <c r="A226" s="4">
        <f t="shared" si="90"/>
        <v>0</v>
      </c>
      <c r="B226" t="s">
        <v>107</v>
      </c>
      <c r="C226" s="5">
        <v>62398</v>
      </c>
      <c r="D226" s="6">
        <f t="shared" si="87"/>
        <v>2.4246483350641888E-3</v>
      </c>
      <c r="E226" s="11">
        <f t="shared" si="88"/>
        <v>62398</v>
      </c>
      <c r="F226" s="12">
        <f t="shared" si="91"/>
        <v>3.2779571956513564E-3</v>
      </c>
      <c r="G226" s="13"/>
      <c r="H226" s="11"/>
      <c r="I226" s="12"/>
      <c r="J226" s="13"/>
      <c r="K226" s="11"/>
      <c r="L226" s="12"/>
      <c r="M226" s="13"/>
      <c r="N226" s="11"/>
      <c r="O226" s="12"/>
      <c r="P226" s="13"/>
    </row>
    <row r="227" spans="1:16">
      <c r="A227" s="4">
        <f t="shared" si="90"/>
        <v>0</v>
      </c>
      <c r="B227" t="s">
        <v>65</v>
      </c>
      <c r="C227" s="5">
        <v>50371</v>
      </c>
      <c r="D227" s="6">
        <f t="shared" si="87"/>
        <v>1.9573057034763656E-3</v>
      </c>
      <c r="E227" s="26" t="s">
        <v>111</v>
      </c>
      <c r="F227" s="12"/>
      <c r="G227" s="13"/>
      <c r="H227" s="11"/>
      <c r="I227" s="12"/>
      <c r="J227" s="13"/>
      <c r="K227" s="11"/>
      <c r="L227" s="12"/>
      <c r="M227" s="13"/>
      <c r="N227" s="11">
        <v>50371</v>
      </c>
      <c r="O227" s="12">
        <f t="shared" si="89"/>
        <v>4.4602907410736185E-2</v>
      </c>
      <c r="P227" s="13"/>
    </row>
    <row r="228" spans="1:16">
      <c r="A228" s="4">
        <f t="shared" si="90"/>
        <v>0</v>
      </c>
      <c r="B228" t="s">
        <v>117</v>
      </c>
      <c r="C228" s="5">
        <v>49347</v>
      </c>
      <c r="D228" s="6">
        <f t="shared" si="87"/>
        <v>1.9175153272606897E-3</v>
      </c>
      <c r="E228" s="11">
        <f t="shared" si="88"/>
        <v>35589</v>
      </c>
      <c r="F228" s="12">
        <f t="shared" si="91"/>
        <v>1.8695986832276052E-3</v>
      </c>
      <c r="G228" s="13"/>
      <c r="H228" s="11">
        <v>7324</v>
      </c>
      <c r="I228" s="12">
        <f>+H228/H$231</f>
        <v>1.9670082969398305E-3</v>
      </c>
      <c r="J228" s="13"/>
      <c r="K228" s="11"/>
      <c r="L228" s="12"/>
      <c r="M228" s="13"/>
      <c r="N228" s="11">
        <v>6434</v>
      </c>
      <c r="O228" s="12">
        <f t="shared" si="89"/>
        <v>5.6972286887430586E-3</v>
      </c>
      <c r="P228" s="13"/>
    </row>
    <row r="229" spans="1:16">
      <c r="A229" s="4">
        <f t="shared" si="90"/>
        <v>0</v>
      </c>
      <c r="B229" t="s">
        <v>118</v>
      </c>
      <c r="C229" s="5">
        <v>46313</v>
      </c>
      <c r="D229" s="6">
        <f t="shared" si="87"/>
        <v>1.7996207946060414E-3</v>
      </c>
      <c r="E229" s="11">
        <f t="shared" si="88"/>
        <v>16898</v>
      </c>
      <c r="F229" s="12">
        <f t="shared" si="91"/>
        <v>8.8770346312568699E-4</v>
      </c>
      <c r="G229" s="13"/>
      <c r="H229" s="11">
        <v>27512</v>
      </c>
      <c r="I229" s="12">
        <f>+H229/H$231</f>
        <v>7.3889039139006839E-3</v>
      </c>
      <c r="J229" s="13"/>
      <c r="K229" s="11">
        <v>1131</v>
      </c>
      <c r="L229" s="12">
        <f t="shared" si="92"/>
        <v>6.1251413494157558E-4</v>
      </c>
      <c r="M229" s="13"/>
      <c r="N229" s="11">
        <v>772</v>
      </c>
      <c r="O229" s="12">
        <f t="shared" si="89"/>
        <v>6.8359660362288493E-4</v>
      </c>
      <c r="P229" s="13"/>
    </row>
    <row r="230" spans="1:16">
      <c r="A230" s="4">
        <f t="shared" si="90"/>
        <v>0</v>
      </c>
      <c r="B230" t="s">
        <v>120</v>
      </c>
      <c r="C230" s="5">
        <v>29989</v>
      </c>
      <c r="D230" s="6">
        <f>+C230/C$231</f>
        <v>1.1653062425116183E-3</v>
      </c>
      <c r="E230" s="27" t="s">
        <v>111</v>
      </c>
      <c r="F230" s="15"/>
      <c r="G230" s="16"/>
      <c r="H230" s="14"/>
      <c r="I230" s="15"/>
      <c r="J230" s="16"/>
      <c r="K230" s="14"/>
      <c r="L230" s="15"/>
      <c r="M230" s="16"/>
      <c r="N230" s="14">
        <v>29989</v>
      </c>
      <c r="O230" s="15">
        <f t="shared" si="89"/>
        <v>2.6554894489697792E-2</v>
      </c>
      <c r="P230" s="16"/>
    </row>
    <row r="231" spans="1:16">
      <c r="A231" s="2">
        <f>SUM(A217:A230)</f>
        <v>350</v>
      </c>
      <c r="C231" s="3">
        <v>25734866</v>
      </c>
      <c r="D231" s="22"/>
      <c r="E231" s="21">
        <f t="shared" ref="E231" si="93">+C231-H231-K231-N231</f>
        <v>19035636</v>
      </c>
      <c r="G231" s="2">
        <f>SUM(G217:G230)</f>
        <v>257</v>
      </c>
      <c r="H231" s="3">
        <v>3723421</v>
      </c>
      <c r="J231" s="2">
        <f>SUM(J217:J230)</f>
        <v>56</v>
      </c>
      <c r="K231" s="3">
        <v>1846488</v>
      </c>
      <c r="M231" s="2">
        <f>SUM(M217:M230)</f>
        <v>21</v>
      </c>
      <c r="N231" s="3">
        <v>1129321</v>
      </c>
      <c r="P231" s="2">
        <f>SUM(P217:P230)</f>
        <v>16</v>
      </c>
    </row>
    <row r="232" spans="1:16">
      <c r="B232" t="s">
        <v>121</v>
      </c>
      <c r="D232" s="22"/>
      <c r="E232" s="21"/>
    </row>
    <row r="233" spans="1:16">
      <c r="B233" t="s">
        <v>122</v>
      </c>
    </row>
    <row r="236" spans="1:16">
      <c r="A236" s="7" t="s">
        <v>123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>
      <c r="C237" t="s">
        <v>2</v>
      </c>
      <c r="E237" t="s">
        <v>5</v>
      </c>
      <c r="H237" t="s">
        <v>7</v>
      </c>
      <c r="K237" t="s">
        <v>8</v>
      </c>
      <c r="N237" t="s">
        <v>9</v>
      </c>
    </row>
    <row r="238" spans="1:16">
      <c r="A238" t="s">
        <v>6</v>
      </c>
      <c r="C238" t="s">
        <v>3</v>
      </c>
      <c r="D238" t="s">
        <v>4</v>
      </c>
      <c r="E238" s="18" t="s">
        <v>3</v>
      </c>
      <c r="F238" s="18" t="s">
        <v>4</v>
      </c>
      <c r="G238" t="s">
        <v>6</v>
      </c>
      <c r="H238" t="s">
        <v>3</v>
      </c>
      <c r="I238" s="18" t="s">
        <v>4</v>
      </c>
      <c r="J238" t="s">
        <v>6</v>
      </c>
      <c r="K238" t="s">
        <v>3</v>
      </c>
      <c r="L238" s="18" t="s">
        <v>4</v>
      </c>
      <c r="M238" t="s">
        <v>6</v>
      </c>
      <c r="N238" t="s">
        <v>3</v>
      </c>
      <c r="O238" s="18" t="s">
        <v>4</v>
      </c>
      <c r="P238" t="s">
        <v>6</v>
      </c>
    </row>
    <row r="239" spans="1:16">
      <c r="A239" s="4">
        <f>+G239+J239+M239+P239</f>
        <v>168</v>
      </c>
      <c r="B239" t="s">
        <v>124</v>
      </c>
      <c r="C239" s="5">
        <v>10866566</v>
      </c>
      <c r="D239" s="6">
        <f>+C239/C$254</f>
        <v>0.44628596150148309</v>
      </c>
      <c r="E239" s="20">
        <f t="shared" ref="E239:E252" si="94">+C239-H239-K239-N239</f>
        <v>9074831</v>
      </c>
      <c r="F239" s="12">
        <f>+E239/E$254</f>
        <v>0.50251191418409624</v>
      </c>
      <c r="G239" s="10">
        <v>140</v>
      </c>
      <c r="H239" s="23">
        <v>716371</v>
      </c>
      <c r="I239" s="12">
        <f>+H239/H$254</f>
        <v>0.20699219269198985</v>
      </c>
      <c r="J239" s="10">
        <v>13</v>
      </c>
      <c r="K239" s="19">
        <v>864567</v>
      </c>
      <c r="L239" s="12">
        <f t="shared" ref="L239:L252" si="95">+K239/K$254</f>
        <v>0.52531174486592369</v>
      </c>
      <c r="M239" s="10">
        <v>12</v>
      </c>
      <c r="N239" s="23">
        <v>210797</v>
      </c>
      <c r="O239" s="12">
        <f t="shared" ref="O239:O252" si="96">+N239/N$254</f>
        <v>0.17814754342196892</v>
      </c>
      <c r="P239" s="10">
        <v>3</v>
      </c>
    </row>
    <row r="240" spans="1:16">
      <c r="A240" s="4">
        <f t="shared" ref="A240:A253" si="97">+G240+J240+M240+P240</f>
        <v>108</v>
      </c>
      <c r="B240" t="s">
        <v>11</v>
      </c>
      <c r="C240" s="5">
        <v>7003241</v>
      </c>
      <c r="D240" s="6">
        <f t="shared" ref="D240:D253" si="98">+C240/C$254</f>
        <v>0.28762059175931087</v>
      </c>
      <c r="E240" s="24">
        <f t="shared" si="94"/>
        <v>5368048</v>
      </c>
      <c r="F240" s="12">
        <f t="shared" ref="F240:F242" si="99">+E240/E$254</f>
        <v>0.29725160456565081</v>
      </c>
      <c r="G240" s="13">
        <v>82</v>
      </c>
      <c r="H240" s="24">
        <v>922547</v>
      </c>
      <c r="I240" s="12">
        <f>+H240/H$254</f>
        <v>0.26656582467941492</v>
      </c>
      <c r="J240" s="13">
        <v>16</v>
      </c>
      <c r="K240" s="24">
        <v>457633</v>
      </c>
      <c r="L240" s="12">
        <f t="shared" si="95"/>
        <v>0.2780582531350691</v>
      </c>
      <c r="M240" s="13">
        <v>6</v>
      </c>
      <c r="N240" s="11">
        <v>255013</v>
      </c>
      <c r="O240" s="12">
        <f t="shared" si="96"/>
        <v>0.21551511402281132</v>
      </c>
      <c r="P240" s="13">
        <v>4</v>
      </c>
    </row>
    <row r="241" spans="1:16">
      <c r="A241" s="4">
        <f t="shared" si="97"/>
        <v>25</v>
      </c>
      <c r="B241" t="s">
        <v>125</v>
      </c>
      <c r="C241" s="5">
        <v>1685991</v>
      </c>
      <c r="D241" s="6">
        <f t="shared" si="98"/>
        <v>6.9243044630460715E-2</v>
      </c>
      <c r="E241" s="11">
        <f t="shared" si="94"/>
        <v>1294371</v>
      </c>
      <c r="F241" s="12">
        <f t="shared" si="99"/>
        <v>7.1674816740320876E-2</v>
      </c>
      <c r="G241" s="13">
        <v>20</v>
      </c>
      <c r="H241" s="11">
        <v>280152</v>
      </c>
      <c r="I241" s="12">
        <f>+H241/H$254</f>
        <v>8.0948665938523956E-2</v>
      </c>
      <c r="J241" s="13">
        <v>5</v>
      </c>
      <c r="K241" s="11">
        <v>67751</v>
      </c>
      <c r="L241" s="12">
        <f t="shared" si="95"/>
        <v>4.1165573086193667E-2</v>
      </c>
      <c r="M241" s="13"/>
      <c r="N241" s="11">
        <v>43717</v>
      </c>
      <c r="O241" s="12">
        <f t="shared" si="96"/>
        <v>3.694585860224868E-2</v>
      </c>
      <c r="P241" s="13"/>
    </row>
    <row r="242" spans="1:16">
      <c r="A242" s="4">
        <f t="shared" si="97"/>
        <v>16</v>
      </c>
      <c r="B242" t="s">
        <v>116</v>
      </c>
      <c r="C242" s="5">
        <v>1143225</v>
      </c>
      <c r="D242" s="6">
        <f t="shared" si="98"/>
        <v>4.6951840014364518E-2</v>
      </c>
      <c r="E242" s="11">
        <f t="shared" si="94"/>
        <v>1062324</v>
      </c>
      <c r="F242" s="12">
        <f t="shared" si="99"/>
        <v>5.8825389334931505E-2</v>
      </c>
      <c r="G242" s="13">
        <v>16</v>
      </c>
      <c r="H242" s="11">
        <v>39650</v>
      </c>
      <c r="I242" s="12">
        <f>+H242/H$254</f>
        <v>1.1456689955675756E-2</v>
      </c>
      <c r="J242" s="13"/>
      <c r="K242" s="11">
        <v>19969</v>
      </c>
      <c r="L242" s="12">
        <f t="shared" si="95"/>
        <v>1.2133183701468632E-2</v>
      </c>
      <c r="M242" s="13"/>
      <c r="N242" s="11">
        <v>21282</v>
      </c>
      <c r="O242" s="12">
        <f t="shared" si="96"/>
        <v>1.7985720950043606E-2</v>
      </c>
      <c r="P242" s="13"/>
    </row>
    <row r="243" spans="1:16">
      <c r="A243" s="4">
        <f t="shared" si="97"/>
        <v>18</v>
      </c>
      <c r="B243" t="s">
        <v>25</v>
      </c>
      <c r="C243" s="5">
        <v>1015691</v>
      </c>
      <c r="D243" s="6">
        <f t="shared" si="98"/>
        <v>4.1714064454529867E-2</v>
      </c>
      <c r="E243" s="26"/>
      <c r="F243" s="12"/>
      <c r="G243" s="13"/>
      <c r="H243" s="20">
        <v>1015691</v>
      </c>
      <c r="I243" s="12">
        <f>+H243/H$254</f>
        <v>0.2934793664002589</v>
      </c>
      <c r="J243" s="13">
        <v>18</v>
      </c>
      <c r="K243" s="11"/>
      <c r="L243" s="12"/>
      <c r="M243" s="13"/>
      <c r="N243" s="24"/>
      <c r="O243" s="12"/>
      <c r="P243" s="13"/>
    </row>
    <row r="244" spans="1:16">
      <c r="A244" s="4">
        <f>+G244+J244+M244+P244</f>
        <v>5</v>
      </c>
      <c r="B244" t="s">
        <v>223</v>
      </c>
      <c r="C244" s="5">
        <v>366732</v>
      </c>
      <c r="D244" s="6">
        <f>+C244/C$254</f>
        <v>1.506155148124641E-2</v>
      </c>
      <c r="E244" s="11">
        <v>42415</v>
      </c>
      <c r="F244" s="12">
        <f>+E244/E$254</f>
        <v>2.3486985972651659E-3</v>
      </c>
      <c r="G244" s="13"/>
      <c r="H244" s="11"/>
      <c r="I244" s="12"/>
      <c r="J244" s="13"/>
      <c r="K244" s="11"/>
      <c r="L244" s="12"/>
      <c r="M244" s="13"/>
      <c r="N244" s="20">
        <v>324317</v>
      </c>
      <c r="O244" s="12">
        <f>+N244/N$254</f>
        <v>0.27408491031647836</v>
      </c>
      <c r="P244" s="13">
        <v>5</v>
      </c>
    </row>
    <row r="245" spans="1:16">
      <c r="A245" s="4">
        <f>+G245+J245+M245+P245</f>
        <v>0</v>
      </c>
      <c r="B245" t="s">
        <v>135</v>
      </c>
      <c r="C245" s="5">
        <f>216748+125306</f>
        <v>342054</v>
      </c>
      <c r="D245" s="6">
        <f>+C245/C$254</f>
        <v>1.4048034887509843E-2</v>
      </c>
      <c r="E245" s="11">
        <f>+C245-H245-K245-N245</f>
        <v>316644</v>
      </c>
      <c r="F245" s="12">
        <f>+E245/E$254</f>
        <v>1.7533922400858919E-2</v>
      </c>
      <c r="G245" s="13"/>
      <c r="H245" s="11"/>
      <c r="I245" s="12"/>
      <c r="J245" s="13"/>
      <c r="K245" s="11">
        <v>10059</v>
      </c>
      <c r="L245" s="12">
        <f>+K245/K$254</f>
        <v>6.1118581227439014E-3</v>
      </c>
      <c r="M245" s="13"/>
      <c r="N245" s="24">
        <v>15351</v>
      </c>
      <c r="O245" s="12">
        <f>+N245/N$254</f>
        <v>1.2973348477780257E-2</v>
      </c>
      <c r="P245" s="13"/>
    </row>
    <row r="246" spans="1:16">
      <c r="A246" s="4">
        <f>+G246+J246+M246+P246</f>
        <v>4</v>
      </c>
      <c r="B246" t="s">
        <v>126</v>
      </c>
      <c r="C246" s="5">
        <v>334498</v>
      </c>
      <c r="D246" s="6">
        <f>+C246/C$254</f>
        <v>1.3737712682214702E-2</v>
      </c>
      <c r="E246" s="11">
        <f>+C246-H246-K246-N246</f>
        <v>49208</v>
      </c>
      <c r="F246" s="12">
        <f>+E246/E$254</f>
        <v>2.7248558428439062E-3</v>
      </c>
      <c r="G246" s="13"/>
      <c r="H246" s="11"/>
      <c r="I246" s="12"/>
      <c r="J246" s="13"/>
      <c r="K246" s="11"/>
      <c r="L246" s="12"/>
      <c r="M246" s="13"/>
      <c r="N246" s="24">
        <v>285290</v>
      </c>
      <c r="O246" s="12">
        <f>+N246/N$254</f>
        <v>0.24110263743247537</v>
      </c>
      <c r="P246" s="13">
        <v>4</v>
      </c>
    </row>
    <row r="247" spans="1:16">
      <c r="A247" s="4">
        <f t="shared" si="97"/>
        <v>4</v>
      </c>
      <c r="B247" t="s">
        <v>127</v>
      </c>
      <c r="C247" s="5">
        <v>256985</v>
      </c>
      <c r="D247" s="6">
        <f t="shared" si="98"/>
        <v>1.0554281620933295E-2</v>
      </c>
      <c r="E247" s="11">
        <f t="shared" ref="E247:E248" si="100">+C247-H247-K247-N247</f>
        <v>12131</v>
      </c>
      <c r="F247" s="12">
        <f>+E247/E$254</f>
        <v>6.7174496483375515E-4</v>
      </c>
      <c r="G247" s="13"/>
      <c r="H247" s="11">
        <v>244854</v>
      </c>
      <c r="I247" s="12">
        <f>+H247/H$254</f>
        <v>7.0749466895511523E-2</v>
      </c>
      <c r="J247" s="13">
        <v>4</v>
      </c>
      <c r="K247" s="11"/>
      <c r="L247" s="12"/>
      <c r="M247" s="13"/>
      <c r="N247" s="11"/>
      <c r="O247" s="12"/>
      <c r="P247" s="13"/>
    </row>
    <row r="248" spans="1:16">
      <c r="A248" s="4">
        <f t="shared" si="97"/>
        <v>0</v>
      </c>
      <c r="B248" t="s">
        <v>128</v>
      </c>
      <c r="C248" s="5">
        <f>143881+76999</f>
        <v>220880</v>
      </c>
      <c r="D248" s="6">
        <f t="shared" si="98"/>
        <v>9.0714622426668716E-3</v>
      </c>
      <c r="E248" s="11">
        <f t="shared" si="100"/>
        <v>220880</v>
      </c>
      <c r="F248" s="12">
        <f>+E248/E$254</f>
        <v>1.2231063212635384E-2</v>
      </c>
      <c r="G248" s="13"/>
      <c r="H248" s="11"/>
      <c r="I248" s="12"/>
      <c r="J248" s="13"/>
      <c r="K248" s="11"/>
      <c r="L248" s="12"/>
      <c r="M248" s="13"/>
      <c r="N248" s="11"/>
      <c r="O248" s="12"/>
      <c r="P248" s="13"/>
    </row>
    <row r="249" spans="1:16">
      <c r="A249" s="4">
        <f t="shared" si="97"/>
        <v>2</v>
      </c>
      <c r="B249" t="s">
        <v>58</v>
      </c>
      <c r="C249" s="5">
        <v>184037</v>
      </c>
      <c r="D249" s="6">
        <f t="shared" si="98"/>
        <v>7.5583334695476416E-3</v>
      </c>
      <c r="E249" s="11"/>
      <c r="F249" s="12"/>
      <c r="G249" s="13"/>
      <c r="H249" s="11"/>
      <c r="I249" s="12"/>
      <c r="J249" s="13"/>
      <c r="K249" s="11">
        <v>184037</v>
      </c>
      <c r="L249" s="12">
        <f t="shared" si="95"/>
        <v>0.11182105908494079</v>
      </c>
      <c r="M249" s="13">
        <v>2</v>
      </c>
      <c r="N249" s="11"/>
      <c r="O249" s="12"/>
      <c r="P249" s="13"/>
    </row>
    <row r="250" spans="1:16">
      <c r="A250" s="4">
        <f t="shared" si="97"/>
        <v>0</v>
      </c>
      <c r="B250" t="s">
        <v>129</v>
      </c>
      <c r="C250" s="5">
        <v>102144</v>
      </c>
      <c r="D250" s="6">
        <f t="shared" si="98"/>
        <v>4.1950173819040428E-3</v>
      </c>
      <c r="E250" s="11">
        <f t="shared" si="94"/>
        <v>64498</v>
      </c>
      <c r="F250" s="12">
        <f>+E250/E$254</f>
        <v>3.5715280473042239E-3</v>
      </c>
      <c r="G250" s="13"/>
      <c r="H250" s="11">
        <v>23826</v>
      </c>
      <c r="I250" s="12">
        <f>+H250/H$254</f>
        <v>6.884416012205059E-3</v>
      </c>
      <c r="J250" s="13"/>
      <c r="K250" s="11">
        <v>7374</v>
      </c>
      <c r="L250" s="12">
        <f t="shared" si="95"/>
        <v>4.4804495274991087E-3</v>
      </c>
      <c r="M250" s="13"/>
      <c r="N250" s="11">
        <v>6446</v>
      </c>
      <c r="O250" s="12">
        <f t="shared" si="96"/>
        <v>5.447606298467301E-3</v>
      </c>
      <c r="P250" s="13"/>
    </row>
    <row r="251" spans="1:16">
      <c r="A251" s="4">
        <f t="shared" si="97"/>
        <v>0</v>
      </c>
      <c r="B251" t="s">
        <v>130</v>
      </c>
      <c r="C251" s="5">
        <v>99473</v>
      </c>
      <c r="D251" s="6">
        <f t="shared" si="98"/>
        <v>4.0853203715356832E-3</v>
      </c>
      <c r="E251" s="11">
        <f t="shared" ref="E251" si="101">+C251-H251-K251-N251</f>
        <v>99473</v>
      </c>
      <c r="F251" s="12">
        <f>+E251/E$254</f>
        <v>5.5082422625429171E-3</v>
      </c>
      <c r="G251" s="13"/>
      <c r="H251" s="11"/>
      <c r="I251" s="12"/>
      <c r="J251" s="13"/>
      <c r="K251" s="11"/>
      <c r="L251" s="12"/>
      <c r="M251" s="13"/>
      <c r="N251" s="11"/>
      <c r="O251" s="12"/>
      <c r="P251" s="13"/>
    </row>
    <row r="252" spans="1:16">
      <c r="A252" s="4">
        <f t="shared" si="97"/>
        <v>0</v>
      </c>
      <c r="B252" t="s">
        <v>132</v>
      </c>
      <c r="C252" s="5">
        <v>97000</v>
      </c>
      <c r="D252" s="6">
        <f t="shared" si="98"/>
        <v>3.9837551500302723E-3</v>
      </c>
      <c r="E252" s="11">
        <f t="shared" si="94"/>
        <v>43235</v>
      </c>
      <c r="F252" s="12">
        <f>+E252/E$254</f>
        <v>2.3941054780799113E-3</v>
      </c>
      <c r="G252" s="13"/>
      <c r="H252" s="11">
        <v>50879</v>
      </c>
      <c r="I252" s="12">
        <f>+H252/H$254</f>
        <v>1.4701259224585797E-2</v>
      </c>
      <c r="J252" s="13"/>
      <c r="K252" s="11"/>
      <c r="L252" s="12">
        <f t="shared" si="95"/>
        <v>0</v>
      </c>
      <c r="M252" s="13"/>
      <c r="N252" s="11">
        <v>2886</v>
      </c>
      <c r="O252" s="12">
        <f t="shared" si="96"/>
        <v>2.4389996551933959E-3</v>
      </c>
      <c r="P252" s="13"/>
    </row>
    <row r="253" spans="1:16">
      <c r="A253" s="4">
        <f t="shared" si="97"/>
        <v>0</v>
      </c>
      <c r="B253" t="s">
        <v>131</v>
      </c>
      <c r="C253" s="5">
        <v>59949</v>
      </c>
      <c r="D253" s="6">
        <f t="shared" si="98"/>
        <v>2.4620838916408743E-3</v>
      </c>
      <c r="E253" s="14"/>
      <c r="F253" s="15"/>
      <c r="G253" s="16"/>
      <c r="H253" s="14">
        <v>59949</v>
      </c>
      <c r="I253" s="15">
        <f>+H253/H$254</f>
        <v>1.7321995111041766E-2</v>
      </c>
      <c r="J253" s="16"/>
      <c r="K253" s="14"/>
      <c r="L253" s="15"/>
      <c r="M253" s="16"/>
      <c r="N253" s="14"/>
      <c r="O253" s="15"/>
      <c r="P253" s="16"/>
    </row>
    <row r="254" spans="1:16">
      <c r="A254" s="2">
        <f>SUM(A239:A253)</f>
        <v>350</v>
      </c>
      <c r="C254" s="3">
        <v>24348886</v>
      </c>
      <c r="D254" s="22"/>
      <c r="E254" s="21">
        <f t="shared" ref="E254" si="102">+C254-H254-K254-N254</f>
        <v>18058937</v>
      </c>
      <c r="G254" s="28">
        <f>SUM(G239:G253)</f>
        <v>258</v>
      </c>
      <c r="H254" s="3">
        <v>3460860</v>
      </c>
      <c r="J254" s="28">
        <f>SUM(J239:J253)</f>
        <v>56</v>
      </c>
      <c r="K254" s="3">
        <v>1645817</v>
      </c>
      <c r="M254" s="28">
        <f>SUM(M239:M253)</f>
        <v>20</v>
      </c>
      <c r="N254" s="3">
        <v>1183272</v>
      </c>
      <c r="P254" s="28">
        <f>SUM(P239:P253)</f>
        <v>16</v>
      </c>
    </row>
    <row r="255" spans="1:16">
      <c r="B255" t="s">
        <v>133</v>
      </c>
      <c r="D255" s="22"/>
      <c r="E255" s="21"/>
    </row>
    <row r="256" spans="1:16">
      <c r="B256" t="s">
        <v>134</v>
      </c>
    </row>
    <row r="258" spans="1:16">
      <c r="A258" s="7" t="s">
        <v>212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>
      <c r="C259" t="s">
        <v>2</v>
      </c>
      <c r="E259" t="s">
        <v>5</v>
      </c>
      <c r="H259" t="s">
        <v>7</v>
      </c>
      <c r="K259" t="s">
        <v>8</v>
      </c>
      <c r="N259" t="s">
        <v>9</v>
      </c>
    </row>
    <row r="260" spans="1:16">
      <c r="A260" t="s">
        <v>6</v>
      </c>
      <c r="C260" t="s">
        <v>3</v>
      </c>
      <c r="D260" t="s">
        <v>4</v>
      </c>
      <c r="E260" s="18" t="s">
        <v>3</v>
      </c>
      <c r="F260" s="18" t="s">
        <v>4</v>
      </c>
      <c r="G260" t="s">
        <v>6</v>
      </c>
      <c r="H260" t="s">
        <v>3</v>
      </c>
      <c r="I260" s="18" t="s">
        <v>4</v>
      </c>
      <c r="J260" t="s">
        <v>6</v>
      </c>
      <c r="K260" t="s">
        <v>3</v>
      </c>
      <c r="L260" s="18" t="s">
        <v>4</v>
      </c>
      <c r="M260" t="s">
        <v>6</v>
      </c>
      <c r="N260" t="s">
        <v>3</v>
      </c>
      <c r="O260" s="18" t="s">
        <v>4</v>
      </c>
      <c r="P260" t="s">
        <v>6</v>
      </c>
    </row>
    <row r="261" spans="1:16">
      <c r="A261" s="4">
        <f>+G261+J261+M261+P261</f>
        <v>104</v>
      </c>
      <c r="B261" t="s">
        <v>213</v>
      </c>
      <c r="C261" s="5">
        <v>7236965</v>
      </c>
      <c r="D261" s="6">
        <f>+C261/C$277</f>
        <v>0.28704089942085043</v>
      </c>
      <c r="E261" s="20">
        <f t="shared" ref="E261:E266" si="103">+C261-H261-K261-N261</f>
        <v>6066846</v>
      </c>
      <c r="F261" s="12">
        <f>+E261/E$277</f>
        <v>0.32629496458208712</v>
      </c>
      <c r="G261" s="10">
        <v>88</v>
      </c>
      <c r="H261" s="23">
        <v>418369</v>
      </c>
      <c r="I261" s="12">
        <f>+H261/H$277</f>
        <v>0.11118380997002546</v>
      </c>
      <c r="J261" s="10">
        <v>6</v>
      </c>
      <c r="K261" s="19">
        <v>609623</v>
      </c>
      <c r="L261" s="12">
        <f>+K261/K$277</f>
        <v>0.37121612537083676</v>
      </c>
      <c r="M261" s="10">
        <v>8</v>
      </c>
      <c r="N261" s="23">
        <v>142127</v>
      </c>
      <c r="O261" s="12">
        <f>+N261/N$277</f>
        <v>0.11706482561395878</v>
      </c>
      <c r="P261" s="10">
        <v>2</v>
      </c>
    </row>
    <row r="262" spans="1:16">
      <c r="A262" s="4">
        <f t="shared" ref="A262:A276" si="104">+G262+J262+M262+P262</f>
        <v>80</v>
      </c>
      <c r="B262" t="s">
        <v>214</v>
      </c>
      <c r="C262" s="5">
        <v>5545315</v>
      </c>
      <c r="D262" s="6">
        <f t="shared" ref="D262:D276" si="105">+C262/C$277</f>
        <v>0.21994471510805058</v>
      </c>
      <c r="E262" s="24">
        <f t="shared" si="103"/>
        <v>4442833</v>
      </c>
      <c r="F262" s="12">
        <f t="shared" ref="F262:F266" si="106">+E262/E$277</f>
        <v>0.23895019527100703</v>
      </c>
      <c r="G262" s="13">
        <v>65</v>
      </c>
      <c r="H262" s="24">
        <v>590274</v>
      </c>
      <c r="I262" s="12">
        <f t="shared" ref="I262:I264" si="107">+H262/H$277</f>
        <v>0.15686848749846857</v>
      </c>
      <c r="J262" s="13">
        <v>9</v>
      </c>
      <c r="K262" s="24">
        <v>350220</v>
      </c>
      <c r="L262" s="12">
        <f t="shared" ref="L262:L264" si="108">+K262/K$277</f>
        <v>0.21325854081518325</v>
      </c>
      <c r="M262" s="13">
        <v>4</v>
      </c>
      <c r="N262" s="11">
        <v>161988</v>
      </c>
      <c r="O262" s="12">
        <f t="shared" ref="O262:O265" si="109">+N262/N$277</f>
        <v>0.13342360685551624</v>
      </c>
      <c r="P262" s="13">
        <v>2</v>
      </c>
    </row>
    <row r="263" spans="1:16">
      <c r="A263" s="4">
        <f t="shared" si="104"/>
        <v>77</v>
      </c>
      <c r="B263" t="s">
        <v>215</v>
      </c>
      <c r="C263" s="5">
        <v>5212631</v>
      </c>
      <c r="D263" s="6">
        <f t="shared" si="105"/>
        <v>0.20674941644584532</v>
      </c>
      <c r="E263" s="11">
        <f t="shared" si="103"/>
        <v>3554379</v>
      </c>
      <c r="F263" s="12">
        <f t="shared" si="106"/>
        <v>0.19116621221575664</v>
      </c>
      <c r="G263" s="13">
        <v>52</v>
      </c>
      <c r="H263" s="20">
        <v>929880</v>
      </c>
      <c r="I263" s="12">
        <f t="shared" si="107"/>
        <v>0.24712060696401328</v>
      </c>
      <c r="J263" s="13">
        <v>15</v>
      </c>
      <c r="K263" s="11">
        <v>410698</v>
      </c>
      <c r="L263" s="12">
        <f t="shared" si="108"/>
        <v>0.25008524983071817</v>
      </c>
      <c r="M263" s="13">
        <v>5</v>
      </c>
      <c r="N263" s="20">
        <v>317674</v>
      </c>
      <c r="O263" s="12">
        <f t="shared" si="109"/>
        <v>0.2616564861855154</v>
      </c>
      <c r="P263" s="13">
        <v>5</v>
      </c>
    </row>
    <row r="264" spans="1:16">
      <c r="A264" s="4">
        <f t="shared" si="104"/>
        <v>50</v>
      </c>
      <c r="B264" t="s">
        <v>118</v>
      </c>
      <c r="C264" s="5">
        <v>3514528</v>
      </c>
      <c r="D264" s="6">
        <f t="shared" si="105"/>
        <v>0.13939728576271443</v>
      </c>
      <c r="E264" s="11">
        <f t="shared" si="103"/>
        <v>2824536</v>
      </c>
      <c r="F264" s="12">
        <f t="shared" si="106"/>
        <v>0.15191285127079707</v>
      </c>
      <c r="G264" s="13">
        <v>41</v>
      </c>
      <c r="H264" s="11">
        <v>490872</v>
      </c>
      <c r="I264" s="12">
        <f t="shared" si="107"/>
        <v>0.1304518718346874</v>
      </c>
      <c r="J264" s="13">
        <v>7</v>
      </c>
      <c r="K264" s="11">
        <v>148852</v>
      </c>
      <c r="L264" s="12">
        <f t="shared" si="108"/>
        <v>9.0640055729032193E-2</v>
      </c>
      <c r="M264" s="13">
        <v>2</v>
      </c>
      <c r="N264" s="11">
        <v>50268</v>
      </c>
      <c r="O264" s="12">
        <f t="shared" si="109"/>
        <v>4.14039180026489E-2</v>
      </c>
      <c r="P264" s="13"/>
    </row>
    <row r="265" spans="1:16">
      <c r="A265" s="4">
        <f t="shared" si="104"/>
        <v>13</v>
      </c>
      <c r="B265" t="s">
        <v>216</v>
      </c>
      <c r="C265" s="5">
        <v>926783</v>
      </c>
      <c r="D265" s="6">
        <f t="shared" si="105"/>
        <v>3.675914224926527E-2</v>
      </c>
      <c r="E265" s="11">
        <f t="shared" si="103"/>
        <v>890781</v>
      </c>
      <c r="F265" s="12">
        <f t="shared" si="106"/>
        <v>4.7909136781351655E-2</v>
      </c>
      <c r="G265" s="13">
        <v>13</v>
      </c>
      <c r="H265" s="20"/>
      <c r="I265" s="12"/>
      <c r="J265" s="13"/>
      <c r="K265" s="11"/>
      <c r="L265" s="12"/>
      <c r="M265" s="13"/>
      <c r="N265" s="24">
        <v>36002</v>
      </c>
      <c r="O265" s="12">
        <f t="shared" si="109"/>
        <v>2.965353417544692E-2</v>
      </c>
      <c r="P265" s="13"/>
    </row>
    <row r="266" spans="1:16">
      <c r="A266" s="4">
        <f t="shared" si="104"/>
        <v>9</v>
      </c>
      <c r="B266" t="s">
        <v>127</v>
      </c>
      <c r="C266" s="5">
        <v>604285</v>
      </c>
      <c r="D266" s="6">
        <f t="shared" si="105"/>
        <v>2.3967852533006394E-2</v>
      </c>
      <c r="E266" s="11">
        <f t="shared" si="103"/>
        <v>2503</v>
      </c>
      <c r="F266" s="12">
        <f t="shared" si="106"/>
        <v>1.3461958591811363E-4</v>
      </c>
      <c r="G266" s="13"/>
      <c r="H266" s="11">
        <v>601782</v>
      </c>
      <c r="I266" s="12">
        <f t="shared" ref="I266:I267" si="110">+H266/H$277</f>
        <v>0.15992680033984796</v>
      </c>
      <c r="J266" s="13">
        <v>9</v>
      </c>
      <c r="K266" s="11"/>
      <c r="L266" s="12"/>
      <c r="M266" s="13"/>
      <c r="N266" s="24"/>
      <c r="O266" s="12"/>
      <c r="P266" s="13"/>
    </row>
    <row r="267" spans="1:16">
      <c r="A267" s="4">
        <f t="shared" si="104"/>
        <v>9</v>
      </c>
      <c r="B267" t="s">
        <v>217</v>
      </c>
      <c r="C267" s="5">
        <v>567253</v>
      </c>
      <c r="D267" s="6">
        <f t="shared" si="105"/>
        <v>2.249904639847998E-2</v>
      </c>
      <c r="E267" s="11"/>
      <c r="F267" s="12"/>
      <c r="G267" s="13"/>
      <c r="H267" s="11">
        <v>567253</v>
      </c>
      <c r="I267" s="12">
        <f t="shared" si="110"/>
        <v>0.15075053303884095</v>
      </c>
      <c r="J267" s="13">
        <v>9</v>
      </c>
      <c r="K267" s="11"/>
      <c r="L267" s="12"/>
      <c r="M267" s="13"/>
      <c r="N267" s="24"/>
      <c r="O267" s="12"/>
      <c r="P267" s="13"/>
    </row>
    <row r="268" spans="1:16">
      <c r="A268" s="4">
        <f t="shared" si="104"/>
        <v>4</v>
      </c>
      <c r="B268" t="s">
        <v>223</v>
      </c>
      <c r="C268" s="5">
        <v>332958</v>
      </c>
      <c r="D268" s="6">
        <f t="shared" si="105"/>
        <v>1.3206166367996463E-2</v>
      </c>
      <c r="E268" s="11">
        <v>30642</v>
      </c>
      <c r="F268" s="12">
        <f t="shared" ref="F268:F272" si="111">+E268/E$277</f>
        <v>1.6480277074322166E-3</v>
      </c>
      <c r="G268" s="13"/>
      <c r="H268" s="11"/>
      <c r="I268" s="12"/>
      <c r="J268" s="13"/>
      <c r="K268" s="11"/>
      <c r="L268" s="12"/>
      <c r="M268" s="13"/>
      <c r="N268" s="24">
        <v>302316</v>
      </c>
      <c r="O268" s="12">
        <f t="shared" ref="O268:O271" si="112">+N268/N$277</f>
        <v>0.24900666179057862</v>
      </c>
      <c r="P268" s="13">
        <v>4</v>
      </c>
    </row>
    <row r="269" spans="1:16">
      <c r="A269" s="4">
        <f t="shared" si="104"/>
        <v>0</v>
      </c>
      <c r="B269" t="s">
        <v>129</v>
      </c>
      <c r="C269" s="5">
        <v>220369</v>
      </c>
      <c r="D269" s="6">
        <f t="shared" si="105"/>
        <v>8.740530866803058E-3</v>
      </c>
      <c r="E269" s="11">
        <f t="shared" ref="E269:E272" si="113">+C269-H269-K269-N269</f>
        <v>154913</v>
      </c>
      <c r="F269" s="12">
        <f t="shared" si="111"/>
        <v>8.3317314875480386E-3</v>
      </c>
      <c r="G269" s="13"/>
      <c r="H269" s="11">
        <v>43930</v>
      </c>
      <c r="I269" s="12">
        <f>+H269/H$277</f>
        <v>1.1674633569846757E-2</v>
      </c>
      <c r="J269" s="13"/>
      <c r="K269" s="11">
        <v>13523</v>
      </c>
      <c r="L269" s="12">
        <f>+K269/K$277</f>
        <v>8.2345247200151985E-3</v>
      </c>
      <c r="M269" s="13"/>
      <c r="N269" s="11">
        <v>8003</v>
      </c>
      <c r="O269" s="12">
        <f t="shared" si="112"/>
        <v>6.5917791791039859E-3</v>
      </c>
      <c r="P269" s="13"/>
    </row>
    <row r="270" spans="1:16">
      <c r="A270" s="4">
        <f t="shared" si="104"/>
        <v>3</v>
      </c>
      <c r="B270" t="s">
        <v>218</v>
      </c>
      <c r="C270" s="5">
        <v>219125</v>
      </c>
      <c r="D270" s="6">
        <f t="shared" si="105"/>
        <v>8.6911898959845541E-3</v>
      </c>
      <c r="E270" s="11">
        <f t="shared" si="113"/>
        <v>34939</v>
      </c>
      <c r="F270" s="12">
        <f t="shared" si="111"/>
        <v>1.8791345235289543E-3</v>
      </c>
      <c r="G270" s="13"/>
      <c r="H270" s="11"/>
      <c r="I270" s="12"/>
      <c r="J270" s="13"/>
      <c r="K270" s="11"/>
      <c r="L270" s="12"/>
      <c r="M270" s="13"/>
      <c r="N270" s="11">
        <v>184186</v>
      </c>
      <c r="O270" s="12">
        <f t="shared" si="112"/>
        <v>0.15170728975164899</v>
      </c>
      <c r="P270" s="13">
        <v>3</v>
      </c>
    </row>
    <row r="271" spans="1:16">
      <c r="A271" s="4">
        <f t="shared" si="104"/>
        <v>0</v>
      </c>
      <c r="B271" t="s">
        <v>116</v>
      </c>
      <c r="C271" s="5">
        <v>155153</v>
      </c>
      <c r="D271" s="6">
        <f t="shared" si="105"/>
        <v>6.1538582358548382E-3</v>
      </c>
      <c r="E271" s="11">
        <f t="shared" si="113"/>
        <v>134050</v>
      </c>
      <c r="F271" s="12">
        <f t="shared" si="111"/>
        <v>7.2096506161898255E-3</v>
      </c>
      <c r="G271" s="13"/>
      <c r="H271" s="11">
        <v>8554</v>
      </c>
      <c r="I271" s="12">
        <f>+H271/H$277</f>
        <v>2.2732714672540214E-3</v>
      </c>
      <c r="J271" s="13"/>
      <c r="K271" s="11">
        <v>8456</v>
      </c>
      <c r="L271" s="12">
        <f>+K271/K$277</f>
        <v>5.1490897753788747E-3</v>
      </c>
      <c r="M271" s="13"/>
      <c r="N271" s="11">
        <v>4093</v>
      </c>
      <c r="O271" s="12">
        <f t="shared" si="112"/>
        <v>3.3712548019583424E-3</v>
      </c>
      <c r="P271" s="13"/>
    </row>
    <row r="272" spans="1:16">
      <c r="A272" s="4">
        <f t="shared" si="104"/>
        <v>0</v>
      </c>
      <c r="B272" t="s">
        <v>219</v>
      </c>
      <c r="C272" s="5">
        <v>81917</v>
      </c>
      <c r="D272" s="6">
        <f t="shared" si="105"/>
        <v>3.2490870631345882E-3</v>
      </c>
      <c r="E272" s="11">
        <f t="shared" si="113"/>
        <v>81917</v>
      </c>
      <c r="F272" s="12">
        <f t="shared" si="111"/>
        <v>4.4057661285074375E-3</v>
      </c>
      <c r="G272" s="13"/>
      <c r="H272" s="11"/>
      <c r="I272" s="12"/>
      <c r="J272" s="13"/>
      <c r="K272" s="11"/>
      <c r="L272" s="12"/>
      <c r="M272" s="13"/>
      <c r="N272" s="11"/>
      <c r="O272" s="12"/>
      <c r="P272" s="13"/>
    </row>
    <row r="273" spans="1:16">
      <c r="A273" s="4">
        <f t="shared" si="104"/>
        <v>1</v>
      </c>
      <c r="B273" t="s">
        <v>220</v>
      </c>
      <c r="C273" s="5">
        <v>70863</v>
      </c>
      <c r="D273" s="6">
        <f t="shared" si="105"/>
        <v>2.810650494462765E-3</v>
      </c>
      <c r="E273" s="11"/>
      <c r="F273" s="12"/>
      <c r="G273" s="13"/>
      <c r="H273" s="11"/>
      <c r="I273" s="12"/>
      <c r="J273" s="13"/>
      <c r="K273" s="11">
        <v>70863</v>
      </c>
      <c r="L273" s="12">
        <f>+K273/K$277</f>
        <v>4.3150419672738076E-2</v>
      </c>
      <c r="M273" s="13">
        <v>1</v>
      </c>
      <c r="N273" s="11"/>
      <c r="O273" s="12"/>
      <c r="P273" s="13"/>
    </row>
    <row r="274" spans="1:16">
      <c r="A274" s="4">
        <f t="shared" si="104"/>
        <v>0</v>
      </c>
      <c r="B274" t="s">
        <v>221</v>
      </c>
      <c r="C274" s="5">
        <v>65388</v>
      </c>
      <c r="D274" s="6">
        <f t="shared" si="105"/>
        <v>2.5934946944375947E-3</v>
      </c>
      <c r="E274" s="11"/>
      <c r="F274" s="12"/>
      <c r="G274" s="13"/>
      <c r="H274" s="11">
        <v>65388</v>
      </c>
      <c r="I274" s="12">
        <f t="shared" ref="I274:I276" si="114">+H274/H$277</f>
        <v>1.7377212380267237E-2</v>
      </c>
      <c r="J274" s="13"/>
      <c r="K274" s="11"/>
      <c r="L274" s="12"/>
      <c r="M274" s="13"/>
      <c r="N274" s="11"/>
      <c r="O274" s="12"/>
      <c r="P274" s="13"/>
    </row>
    <row r="275" spans="1:16">
      <c r="A275" s="4">
        <f t="shared" si="104"/>
        <v>0</v>
      </c>
      <c r="B275" t="s">
        <v>207</v>
      </c>
      <c r="C275" s="5">
        <v>58114</v>
      </c>
      <c r="D275" s="6">
        <f t="shared" si="105"/>
        <v>2.3049848698927385E-3</v>
      </c>
      <c r="E275" s="21">
        <f t="shared" ref="E275:E277" si="115">+C275-H275-K275-N275</f>
        <v>56403</v>
      </c>
      <c r="F275" s="12">
        <f t="shared" ref="F275:F276" si="116">+E275/E$277</f>
        <v>3.0335391548299497E-3</v>
      </c>
      <c r="G275" s="31"/>
      <c r="H275" s="11">
        <v>465</v>
      </c>
      <c r="I275" s="12">
        <f t="shared" si="114"/>
        <v>1.23576248804433E-4</v>
      </c>
      <c r="J275" s="31"/>
      <c r="K275" s="11">
        <v>1246</v>
      </c>
      <c r="L275" s="12">
        <f>+K275/K$277</f>
        <v>7.587234933919203E-4</v>
      </c>
      <c r="M275" s="31"/>
      <c r="N275" s="21"/>
      <c r="O275" s="12"/>
      <c r="P275" s="13"/>
    </row>
    <row r="276" spans="1:16">
      <c r="A276" s="4">
        <f t="shared" si="104"/>
        <v>0</v>
      </c>
      <c r="B276" t="s">
        <v>224</v>
      </c>
      <c r="C276" s="5">
        <v>48675</v>
      </c>
      <c r="D276" s="6">
        <f t="shared" si="105"/>
        <v>1.9306043043333628E-3</v>
      </c>
      <c r="E276" s="14">
        <f t="shared" si="115"/>
        <v>29503</v>
      </c>
      <c r="F276" s="15">
        <f t="shared" si="116"/>
        <v>1.5867685350947291E-3</v>
      </c>
      <c r="G276" s="16"/>
      <c r="H276" s="14">
        <v>12911</v>
      </c>
      <c r="I276" s="15">
        <f t="shared" si="114"/>
        <v>3.4311676307828701E-3</v>
      </c>
      <c r="J276" s="16"/>
      <c r="K276" s="14">
        <v>3829</v>
      </c>
      <c r="L276" s="15">
        <f>+K276/K$277</f>
        <v>2.3315828701425865E-3</v>
      </c>
      <c r="M276" s="16"/>
      <c r="N276" s="14">
        <v>2432</v>
      </c>
      <c r="O276" s="15">
        <f>+N276/N$277</f>
        <v>2.0031496893141189E-3</v>
      </c>
      <c r="P276" s="16"/>
    </row>
    <row r="277" spans="1:16">
      <c r="A277" s="2">
        <f>SUM(A261:A276)</f>
        <v>350</v>
      </c>
      <c r="C277" s="3">
        <v>25212313</v>
      </c>
      <c r="D277" s="22"/>
      <c r="E277" s="21">
        <f t="shared" si="115"/>
        <v>18593134</v>
      </c>
      <c r="G277" s="28">
        <f>SUM(G261:G276)</f>
        <v>259</v>
      </c>
      <c r="H277" s="3">
        <v>3762859</v>
      </c>
      <c r="J277" s="28">
        <f>SUM(J261:J276)</f>
        <v>55</v>
      </c>
      <c r="K277" s="3">
        <v>1642232</v>
      </c>
      <c r="M277" s="28">
        <f>SUM(M261:M276)</f>
        <v>20</v>
      </c>
      <c r="N277" s="3">
        <v>1214088</v>
      </c>
      <c r="P277" s="28">
        <f>SUM(P261:P276)</f>
        <v>16</v>
      </c>
    </row>
    <row r="281" spans="1:16">
      <c r="A281" s="7" t="s">
        <v>225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>
      <c r="C282" t="s">
        <v>2</v>
      </c>
      <c r="E282" t="s">
        <v>5</v>
      </c>
      <c r="H282" t="s">
        <v>7</v>
      </c>
      <c r="K282" t="s">
        <v>8</v>
      </c>
      <c r="N282" t="s">
        <v>9</v>
      </c>
    </row>
    <row r="283" spans="1:16">
      <c r="A283" t="s">
        <v>6</v>
      </c>
      <c r="C283" t="s">
        <v>3</v>
      </c>
      <c r="D283" t="s">
        <v>4</v>
      </c>
      <c r="E283" s="18" t="s">
        <v>3</v>
      </c>
      <c r="F283" s="18" t="s">
        <v>4</v>
      </c>
      <c r="G283" t="s">
        <v>6</v>
      </c>
      <c r="H283" t="s">
        <v>3</v>
      </c>
      <c r="I283" s="18" t="s">
        <v>4</v>
      </c>
      <c r="J283" t="s">
        <v>6</v>
      </c>
      <c r="K283" t="s">
        <v>3</v>
      </c>
      <c r="L283" s="18" t="s">
        <v>4</v>
      </c>
      <c r="M283" t="s">
        <v>6</v>
      </c>
      <c r="N283" t="s">
        <v>3</v>
      </c>
      <c r="O283" s="18" t="s">
        <v>4</v>
      </c>
      <c r="P283" t="s">
        <v>6</v>
      </c>
    </row>
    <row r="284" spans="1:16">
      <c r="A284" s="4">
        <f t="shared" ref="A284:A297" si="117">+G284+J284+M284+P284</f>
        <v>120</v>
      </c>
      <c r="B284" t="s">
        <v>213</v>
      </c>
      <c r="C284" s="5">
        <v>7941236</v>
      </c>
      <c r="D284" s="6">
        <f t="shared" ref="D284:D292" si="118">+C284/C$298</f>
        <v>0.33014537647032655</v>
      </c>
      <c r="E284" s="20">
        <f t="shared" ref="E284:E287" si="119">+C284-H284-K284-N284</f>
        <v>6677114</v>
      </c>
      <c r="F284" s="12">
        <f>+E284/E$298</f>
        <v>0.37397075785669631</v>
      </c>
      <c r="G284" s="10">
        <v>101</v>
      </c>
      <c r="H284" s="23">
        <v>464538</v>
      </c>
      <c r="I284" s="12">
        <f t="shared" ref="I284:I289" si="120">+H284/H$298</f>
        <v>0.13358139962876323</v>
      </c>
      <c r="J284" s="10">
        <v>8</v>
      </c>
      <c r="K284" s="19">
        <f>257855+91516+92539+208921</f>
        <v>650831</v>
      </c>
      <c r="L284" s="12">
        <f>+K284/K$298</f>
        <v>0.41528372966750809</v>
      </c>
      <c r="M284" s="10">
        <v>9</v>
      </c>
      <c r="N284" s="23">
        <f>78965+35512+34276</f>
        <v>148753</v>
      </c>
      <c r="O284" s="12">
        <f>+N284/N$298</f>
        <v>0.128862773226884</v>
      </c>
      <c r="P284" s="10">
        <v>2</v>
      </c>
    </row>
    <row r="285" spans="1:16">
      <c r="A285" s="4">
        <f t="shared" si="117"/>
        <v>82</v>
      </c>
      <c r="B285" t="s">
        <v>214</v>
      </c>
      <c r="C285" s="5">
        <v>5443846</v>
      </c>
      <c r="D285" s="6">
        <f t="shared" si="118"/>
        <v>0.22632000700098592</v>
      </c>
      <c r="E285" s="24">
        <f t="shared" si="119"/>
        <v>4371707</v>
      </c>
      <c r="F285" s="12">
        <f>+E285/E$298</f>
        <v>0.24484988273637748</v>
      </c>
      <c r="G285" s="13">
        <v>66</v>
      </c>
      <c r="H285" s="24">
        <v>559870</v>
      </c>
      <c r="I285" s="12">
        <f t="shared" si="120"/>
        <v>0.16099483402898293</v>
      </c>
      <c r="J285" s="13">
        <v>9</v>
      </c>
      <c r="K285" s="24">
        <f>139973+45796+43429+118816</f>
        <v>348014</v>
      </c>
      <c r="L285" s="12">
        <f>+K285/K$298</f>
        <v>0.22206156728322429</v>
      </c>
      <c r="M285" s="13">
        <v>5</v>
      </c>
      <c r="N285" s="11">
        <f>86425+51449+26381</f>
        <v>164255</v>
      </c>
      <c r="O285" s="12">
        <f>+N285/N$298</f>
        <v>0.14229195254133922</v>
      </c>
      <c r="P285" s="13">
        <v>2</v>
      </c>
    </row>
    <row r="286" spans="1:16">
      <c r="A286" s="4">
        <f t="shared" si="117"/>
        <v>77</v>
      </c>
      <c r="B286" t="s">
        <v>226</v>
      </c>
      <c r="C286" s="5">
        <v>5087538</v>
      </c>
      <c r="D286" s="6">
        <f t="shared" si="118"/>
        <v>0.21150701834287411</v>
      </c>
      <c r="E286" s="11">
        <f t="shared" si="119"/>
        <v>3551154</v>
      </c>
      <c r="F286" s="12">
        <f>+E286/E$298</f>
        <v>0.1988924784938281</v>
      </c>
      <c r="G286" s="13">
        <v>53</v>
      </c>
      <c r="H286" s="20">
        <v>853102</v>
      </c>
      <c r="I286" s="12">
        <f t="shared" si="120"/>
        <v>0.24531590351294655</v>
      </c>
      <c r="J286" s="13">
        <v>14</v>
      </c>
      <c r="K286" s="11">
        <f>148566+32752+29136+137088</f>
        <v>347542</v>
      </c>
      <c r="L286" s="12">
        <f>+K286/K$298</f>
        <v>0.22176039244612672</v>
      </c>
      <c r="M286" s="13">
        <v>5</v>
      </c>
      <c r="N286" s="20">
        <f>179347+104566+51827</f>
        <v>335740</v>
      </c>
      <c r="O286" s="12">
        <f>+N286/N$298</f>
        <v>0.2908471592720418</v>
      </c>
      <c r="P286" s="13">
        <v>5</v>
      </c>
    </row>
    <row r="287" spans="1:16">
      <c r="A287" s="4">
        <f t="shared" si="117"/>
        <v>46</v>
      </c>
      <c r="B287" t="s">
        <v>118</v>
      </c>
      <c r="C287" s="5">
        <v>3141570</v>
      </c>
      <c r="D287" s="6">
        <f t="shared" si="118"/>
        <v>0.13060621927844529</v>
      </c>
      <c r="E287" s="11">
        <f t="shared" si="119"/>
        <v>2585208</v>
      </c>
      <c r="F287" s="12">
        <f>+E287/E$298</f>
        <v>0.14479192581962719</v>
      </c>
      <c r="G287" s="13">
        <v>39</v>
      </c>
      <c r="H287" s="11">
        <v>380497</v>
      </c>
      <c r="I287" s="12">
        <f t="shared" si="120"/>
        <v>0.10941477729388235</v>
      </c>
      <c r="J287" s="13">
        <v>6</v>
      </c>
      <c r="K287" s="11">
        <f>60347+13343+13133+48302</f>
        <v>135125</v>
      </c>
      <c r="L287" s="12">
        <f>+K287/K$298</f>
        <v>8.6220868353415914E-2</v>
      </c>
      <c r="M287" s="13">
        <v>1</v>
      </c>
      <c r="N287" s="11">
        <f>20685+11683+8372</f>
        <v>40740</v>
      </c>
      <c r="O287" s="12">
        <f>+N287/N$298</f>
        <v>3.5292527755831846E-2</v>
      </c>
      <c r="P287" s="13"/>
    </row>
    <row r="288" spans="1:16">
      <c r="A288" s="4">
        <f t="shared" si="117"/>
        <v>10</v>
      </c>
      <c r="B288" t="s">
        <v>227</v>
      </c>
      <c r="C288" s="5">
        <v>639652</v>
      </c>
      <c r="D288" s="6">
        <f t="shared" si="118"/>
        <v>2.6592604772103151E-2</v>
      </c>
      <c r="E288" s="11">
        <f t="shared" ref="E288" si="121">+C288-H288-K288-N288</f>
        <v>7418</v>
      </c>
      <c r="F288" s="12">
        <f>+E288/E$298</f>
        <v>4.1546618520830607E-4</v>
      </c>
      <c r="G288" s="13"/>
      <c r="H288" s="11">
        <v>632234</v>
      </c>
      <c r="I288" s="12">
        <f t="shared" si="120"/>
        <v>0.18180364709214636</v>
      </c>
      <c r="J288" s="13">
        <v>10</v>
      </c>
      <c r="K288" s="11"/>
      <c r="L288" s="12"/>
      <c r="M288" s="13"/>
      <c r="N288" s="24"/>
      <c r="O288" s="12"/>
      <c r="P288" s="13"/>
    </row>
    <row r="289" spans="1:16">
      <c r="A289" s="4">
        <f t="shared" si="117"/>
        <v>8</v>
      </c>
      <c r="B289" t="s">
        <v>228</v>
      </c>
      <c r="C289" s="5">
        <v>483488</v>
      </c>
      <c r="D289" s="6">
        <f t="shared" si="118"/>
        <v>2.0100312820181297E-2</v>
      </c>
      <c r="E289" s="11"/>
      <c r="F289" s="12"/>
      <c r="G289" s="13"/>
      <c r="H289" s="11">
        <v>483488</v>
      </c>
      <c r="I289" s="12">
        <f t="shared" si="120"/>
        <v>0.13903061481237591</v>
      </c>
      <c r="J289" s="13">
        <v>8</v>
      </c>
      <c r="K289" s="11"/>
      <c r="L289" s="12"/>
      <c r="M289" s="13"/>
      <c r="N289" s="24"/>
      <c r="O289" s="12"/>
      <c r="P289" s="13"/>
    </row>
    <row r="290" spans="1:16">
      <c r="A290" s="4">
        <f t="shared" si="117"/>
        <v>5</v>
      </c>
      <c r="B290" t="s">
        <v>223</v>
      </c>
      <c r="C290" s="5">
        <f>287014+14343</f>
        <v>301357</v>
      </c>
      <c r="D290" s="6">
        <f t="shared" si="118"/>
        <v>1.2528480480490468E-2</v>
      </c>
      <c r="E290" s="11">
        <v>14343</v>
      </c>
      <c r="F290" s="12">
        <f t="shared" ref="F290:F296" si="122">+E290/E$298</f>
        <v>8.0332050342986436E-4</v>
      </c>
      <c r="G290" s="13"/>
      <c r="H290" s="11"/>
      <c r="I290" s="12"/>
      <c r="J290" s="13"/>
      <c r="K290" s="11"/>
      <c r="L290" s="12"/>
      <c r="M290" s="13"/>
      <c r="N290" s="24">
        <f>175296+85015+26703</f>
        <v>287014</v>
      </c>
      <c r="O290" s="12">
        <f>+N290/N$298</f>
        <v>0.24863646444065587</v>
      </c>
      <c r="P290" s="13">
        <v>5</v>
      </c>
    </row>
    <row r="291" spans="1:16">
      <c r="A291" s="4">
        <f t="shared" si="117"/>
        <v>0</v>
      </c>
      <c r="B291" t="s">
        <v>129</v>
      </c>
      <c r="C291" s="5">
        <v>286702</v>
      </c>
      <c r="D291" s="6">
        <f t="shared" si="118"/>
        <v>1.1919220096820641E-2</v>
      </c>
      <c r="E291" s="11">
        <f t="shared" ref="E291:E292" si="123">+C291-H291-K291-N291</f>
        <v>200531</v>
      </c>
      <c r="F291" s="12">
        <f t="shared" si="122"/>
        <v>1.1231308922351958E-2</v>
      </c>
      <c r="G291" s="13"/>
      <c r="H291" s="11">
        <v>59897</v>
      </c>
      <c r="I291" s="12">
        <f>+H291/H$298</f>
        <v>1.7223833343158215E-2</v>
      </c>
      <c r="J291" s="13"/>
      <c r="K291" s="11">
        <f>6857+1939+1671+6497</f>
        <v>16964</v>
      </c>
      <c r="L291" s="12">
        <f>+K291/K$298</f>
        <v>1.0824427831617743E-2</v>
      </c>
      <c r="M291" s="13"/>
      <c r="N291" s="11">
        <f>4865+2788+1657</f>
        <v>9310</v>
      </c>
      <c r="O291" s="12">
        <f>+N291/N$298</f>
        <v>8.065130913274288E-3</v>
      </c>
      <c r="P291" s="13"/>
    </row>
    <row r="292" spans="1:16">
      <c r="A292" s="4">
        <f t="shared" si="117"/>
        <v>2</v>
      </c>
      <c r="B292" t="s">
        <v>218</v>
      </c>
      <c r="C292" s="5">
        <v>184713</v>
      </c>
      <c r="D292" s="6">
        <f t="shared" si="118"/>
        <v>7.6791752472742825E-3</v>
      </c>
      <c r="E292" s="11">
        <f t="shared" si="123"/>
        <v>31374</v>
      </c>
      <c r="F292" s="12">
        <f t="shared" si="122"/>
        <v>1.7571900909578585E-3</v>
      </c>
      <c r="G292" s="13"/>
      <c r="H292" s="11"/>
      <c r="I292" s="12"/>
      <c r="J292" s="13"/>
      <c r="K292" s="11"/>
      <c r="L292" s="12"/>
      <c r="M292" s="13"/>
      <c r="N292" s="11">
        <f>67653+69828+15858</f>
        <v>153339</v>
      </c>
      <c r="O292" s="12">
        <f>+N292/N$298</f>
        <v>0.13283556488835294</v>
      </c>
      <c r="P292" s="13">
        <v>2</v>
      </c>
    </row>
    <row r="293" spans="1:16">
      <c r="A293" s="4">
        <f t="shared" si="117"/>
        <v>0</v>
      </c>
      <c r="B293" t="s">
        <v>219</v>
      </c>
      <c r="C293" s="5">
        <v>78253</v>
      </c>
      <c r="D293" s="6">
        <f>+C293/C$298</f>
        <v>3.2532550531091716E-3</v>
      </c>
      <c r="E293" s="11">
        <f>+C293-H293-K293-N293</f>
        <v>78253</v>
      </c>
      <c r="F293" s="12">
        <f t="shared" si="122"/>
        <v>4.3827817998255024E-3</v>
      </c>
      <c r="G293" s="13"/>
      <c r="H293" s="11"/>
      <c r="I293" s="12"/>
      <c r="J293" s="13"/>
      <c r="K293" s="11"/>
      <c r="L293" s="12"/>
      <c r="M293" s="13"/>
      <c r="N293" s="11"/>
      <c r="O293" s="12"/>
      <c r="P293" s="13"/>
    </row>
    <row r="294" spans="1:16">
      <c r="A294" s="4">
        <f t="shared" si="117"/>
        <v>0</v>
      </c>
      <c r="B294" t="s">
        <v>224</v>
      </c>
      <c r="C294" s="5">
        <v>51907</v>
      </c>
      <c r="D294" s="6">
        <f>+C294/C$298</f>
        <v>2.1579582896724442E-3</v>
      </c>
      <c r="E294" s="11">
        <f>+C294-H294-K294-N294</f>
        <v>35356</v>
      </c>
      <c r="F294" s="12">
        <f t="shared" si="122"/>
        <v>1.9802133249157278E-3</v>
      </c>
      <c r="G294" s="13"/>
      <c r="H294" s="11">
        <v>9730</v>
      </c>
      <c r="I294" s="12">
        <f>+H294/H$298</f>
        <v>2.7979347618232874E-3</v>
      </c>
      <c r="J294" s="13"/>
      <c r="K294" s="11">
        <f>1583+514+417+1360</f>
        <v>3874</v>
      </c>
      <c r="L294" s="12">
        <f>+K294/K$298</f>
        <v>2.4719307604154171E-3</v>
      </c>
      <c r="M294" s="13"/>
      <c r="N294" s="11">
        <f>1176+1172+599</f>
        <v>2947</v>
      </c>
      <c r="O294" s="12">
        <f>+N294/N$298</f>
        <v>2.5529474545026129E-3</v>
      </c>
      <c r="P294" s="13"/>
    </row>
    <row r="295" spans="1:16">
      <c r="A295" s="4">
        <f t="shared" si="117"/>
        <v>0</v>
      </c>
      <c r="B295" t="s">
        <v>116</v>
      </c>
      <c r="C295" s="5">
        <v>50247</v>
      </c>
      <c r="D295" s="6">
        <f>+C295/C$298</f>
        <v>2.0889461957187142E-3</v>
      </c>
      <c r="E295" s="11">
        <f>+C295-H295-K295-N295</f>
        <v>47730</v>
      </c>
      <c r="F295" s="12">
        <f t="shared" si="122"/>
        <v>2.6732543839299606E-3</v>
      </c>
      <c r="G295" s="13"/>
      <c r="H295" s="11"/>
      <c r="I295" s="12"/>
      <c r="J295" s="13"/>
      <c r="K295" s="11">
        <v>975</v>
      </c>
      <c r="L295" s="12">
        <f>+K295/K$298</f>
        <v>6.2213022493676608E-4</v>
      </c>
      <c r="M295" s="13"/>
      <c r="N295" s="11">
        <f>766+478+298</f>
        <v>1542</v>
      </c>
      <c r="O295" s="12">
        <f>+N295/N$298</f>
        <v>1.3358143789762569E-3</v>
      </c>
      <c r="P295" s="13"/>
    </row>
    <row r="296" spans="1:16">
      <c r="A296" s="4">
        <f t="shared" si="117"/>
        <v>0</v>
      </c>
      <c r="B296" t="s">
        <v>207</v>
      </c>
      <c r="C296" s="5">
        <v>47182</v>
      </c>
      <c r="D296" s="6">
        <f>+C296/C$298</f>
        <v>1.9615232632077613E-3</v>
      </c>
      <c r="E296" s="21">
        <f>+C296-H296-K296-N296</f>
        <v>45011</v>
      </c>
      <c r="F296" s="12">
        <f t="shared" si="122"/>
        <v>2.5209690566744491E-3</v>
      </c>
      <c r="G296" s="31"/>
      <c r="H296" s="11">
        <v>198</v>
      </c>
      <c r="I296" s="12">
        <f>+H296/H$298</f>
        <v>5.6936390836691764E-5</v>
      </c>
      <c r="J296" s="31"/>
      <c r="K296" s="11">
        <v>1026</v>
      </c>
      <c r="L296" s="12">
        <f>+K296/K$298</f>
        <v>6.5467242131807377E-4</v>
      </c>
      <c r="M296" s="31"/>
      <c r="N296" s="21">
        <f>641+306</f>
        <v>947</v>
      </c>
      <c r="O296" s="12">
        <f>+N296/N$298</f>
        <v>8.2037368151135874E-4</v>
      </c>
      <c r="P296" s="13"/>
    </row>
    <row r="297" spans="1:16">
      <c r="A297" s="4">
        <f t="shared" si="117"/>
        <v>0</v>
      </c>
      <c r="B297" t="s">
        <v>229</v>
      </c>
      <c r="C297" s="5">
        <v>45252</v>
      </c>
      <c r="D297" s="6">
        <f>+C297/C$298</f>
        <v>1.8812863105989064E-3</v>
      </c>
      <c r="E297" s="14"/>
      <c r="F297" s="15"/>
      <c r="G297" s="16"/>
      <c r="H297" s="14"/>
      <c r="I297" s="15"/>
      <c r="J297" s="16"/>
      <c r="K297" s="14">
        <f>19343+5009+4107+16793</f>
        <v>45252</v>
      </c>
      <c r="L297" s="15">
        <f>+K297/K$298</f>
        <v>2.8874499424449782E-2</v>
      </c>
      <c r="M297" s="16"/>
      <c r="N297" s="14"/>
      <c r="O297" s="15"/>
      <c r="P297" s="16"/>
    </row>
    <row r="298" spans="1:16">
      <c r="A298" s="2">
        <f>SUM(A284:A297)</f>
        <v>350</v>
      </c>
      <c r="C298" s="3">
        <v>24053755</v>
      </c>
      <c r="D298" s="22"/>
      <c r="E298" s="21">
        <f t="shared" ref="E298" si="124">+C298-H298-K298-N298</f>
        <v>17854642</v>
      </c>
      <c r="G298" s="28">
        <f>SUM(G284:G297)</f>
        <v>259</v>
      </c>
      <c r="H298" s="3">
        <v>3477565</v>
      </c>
      <c r="J298" s="28">
        <f>SUM(J284:J297)</f>
        <v>55</v>
      </c>
      <c r="K298" s="3">
        <f>643389+192957+186177+544673</f>
        <v>1567196</v>
      </c>
      <c r="M298" s="28">
        <f>SUM(M284:M297)</f>
        <v>20</v>
      </c>
      <c r="N298" s="3">
        <f>167640+621219+365493</f>
        <v>1154352</v>
      </c>
      <c r="P298" s="28">
        <f>SUM(P284:P297)</f>
        <v>16</v>
      </c>
    </row>
    <row r="299" spans="1:16">
      <c r="B299" t="s">
        <v>222</v>
      </c>
      <c r="D299" s="22"/>
      <c r="E299" s="21"/>
      <c r="N299">
        <f>254579+580706+948080</f>
        <v>1783365</v>
      </c>
    </row>
    <row r="300" spans="1:16">
      <c r="N300">
        <f>+N298/N299</f>
        <v>0.64728869300451675</v>
      </c>
    </row>
    <row r="304" spans="1:16">
      <c r="A304" s="7" t="s">
        <v>140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1:16">
      <c r="C305" t="s">
        <v>2</v>
      </c>
      <c r="E305" t="s">
        <v>5</v>
      </c>
      <c r="H305" t="s">
        <v>7</v>
      </c>
      <c r="K305" t="s">
        <v>8</v>
      </c>
      <c r="N305" t="s">
        <v>9</v>
      </c>
    </row>
    <row r="306" spans="1:16">
      <c r="A306" t="s">
        <v>6</v>
      </c>
      <c r="C306" t="s">
        <v>3</v>
      </c>
      <c r="D306" t="s">
        <v>4</v>
      </c>
      <c r="E306" s="18" t="s">
        <v>3</v>
      </c>
      <c r="F306" s="18" t="s">
        <v>4</v>
      </c>
      <c r="G306" t="s">
        <v>6</v>
      </c>
      <c r="H306" t="s">
        <v>3</v>
      </c>
      <c r="I306" s="18" t="s">
        <v>4</v>
      </c>
      <c r="J306" t="s">
        <v>6</v>
      </c>
      <c r="K306" t="s">
        <v>3</v>
      </c>
      <c r="L306" s="18" t="s">
        <v>4</v>
      </c>
      <c r="M306" t="s">
        <v>6</v>
      </c>
      <c r="N306" t="s">
        <v>3</v>
      </c>
      <c r="O306" s="18" t="s">
        <v>4</v>
      </c>
      <c r="P306" t="s">
        <v>6</v>
      </c>
    </row>
    <row r="307" spans="1:16">
      <c r="A307" s="4">
        <f>+G307+J307+M307+P307</f>
        <v>29</v>
      </c>
      <c r="B307" t="s">
        <v>11</v>
      </c>
      <c r="C307" s="5">
        <v>7522706</v>
      </c>
      <c r="D307" s="6">
        <f t="shared" ref="D307:D325" si="125">+C307/C$326</f>
        <v>0.3905621584005089</v>
      </c>
      <c r="E307" s="20">
        <f t="shared" ref="E307:E310" si="126">+C307-H307-K307-N307</f>
        <v>5837089</v>
      </c>
      <c r="F307" s="12">
        <f t="shared" ref="F307:F325" si="127">+E307/E$326</f>
        <v>0.41920010628862386</v>
      </c>
      <c r="G307" s="10">
        <v>21</v>
      </c>
      <c r="H307" s="19">
        <v>1116348</v>
      </c>
      <c r="I307" s="12">
        <f t="shared" ref="I307:I325" si="128">+H307/H$326</f>
        <v>0.36823905646716154</v>
      </c>
      <c r="J307" s="10">
        <v>5</v>
      </c>
      <c r="K307" s="8">
        <v>364747</v>
      </c>
      <c r="L307" s="12">
        <f t="shared" ref="L307:L325" si="129">+K307/K$326</f>
        <v>0.29613442949303964</v>
      </c>
      <c r="M307" s="10">
        <v>2</v>
      </c>
      <c r="N307" s="23">
        <v>204522</v>
      </c>
      <c r="O307" s="12">
        <f t="shared" ref="O307:O325" si="130">+N307/N$326</f>
        <v>0.19050165006049757</v>
      </c>
      <c r="P307" s="10">
        <v>1</v>
      </c>
    </row>
    <row r="308" spans="1:16">
      <c r="A308" s="4">
        <f t="shared" ref="A308:A312" si="131">+G308+J308+M308+P308</f>
        <v>17</v>
      </c>
      <c r="B308" t="s">
        <v>12</v>
      </c>
      <c r="C308" s="5">
        <v>4747283</v>
      </c>
      <c r="D308" s="6">
        <f t="shared" si="125"/>
        <v>0.24646837122413703</v>
      </c>
      <c r="E308" s="11">
        <f t="shared" si="126"/>
        <v>3817363</v>
      </c>
      <c r="F308" s="12">
        <f t="shared" si="127"/>
        <v>0.27415017577122092</v>
      </c>
      <c r="G308" s="13">
        <v>13</v>
      </c>
      <c r="H308" s="11">
        <v>339256</v>
      </c>
      <c r="I308" s="12">
        <f t="shared" si="128"/>
        <v>0.1119071376854022</v>
      </c>
      <c r="J308" s="13">
        <v>1</v>
      </c>
      <c r="K308" s="20">
        <v>513744</v>
      </c>
      <c r="L308" s="12">
        <f t="shared" si="129"/>
        <v>0.41710359878346409</v>
      </c>
      <c r="M308" s="13">
        <v>3</v>
      </c>
      <c r="N308" s="11">
        <v>76920</v>
      </c>
      <c r="O308" s="12">
        <f t="shared" si="130"/>
        <v>7.1646996032962096E-2</v>
      </c>
      <c r="P308" s="13"/>
    </row>
    <row r="309" spans="1:16">
      <c r="A309" s="4">
        <f t="shared" si="131"/>
        <v>5</v>
      </c>
      <c r="B309" t="s">
        <v>43</v>
      </c>
      <c r="C309" s="5">
        <v>1976093</v>
      </c>
      <c r="D309" s="6">
        <f t="shared" si="125"/>
        <v>0.10259435198984737</v>
      </c>
      <c r="E309" s="11">
        <f t="shared" si="126"/>
        <v>1637259</v>
      </c>
      <c r="F309" s="12">
        <f t="shared" si="127"/>
        <v>0.11758243652306929</v>
      </c>
      <c r="G309" s="13">
        <v>5</v>
      </c>
      <c r="H309" s="11">
        <v>170931</v>
      </c>
      <c r="I309" s="12">
        <f t="shared" si="128"/>
        <v>5.6383377012354921E-2</v>
      </c>
      <c r="J309" s="13"/>
      <c r="K309" s="11">
        <v>126203</v>
      </c>
      <c r="L309" s="12">
        <f t="shared" si="129"/>
        <v>0.10246294940139353</v>
      </c>
      <c r="M309" s="13"/>
      <c r="N309" s="11">
        <v>41700</v>
      </c>
      <c r="O309" s="12">
        <f t="shared" si="130"/>
        <v>3.8841390205076952E-2</v>
      </c>
      <c r="P309" s="13"/>
    </row>
    <row r="310" spans="1:16">
      <c r="A310" s="4">
        <f t="shared" si="131"/>
        <v>3</v>
      </c>
      <c r="B310" t="s">
        <v>141</v>
      </c>
      <c r="C310" s="5">
        <v>1011830</v>
      </c>
      <c r="D310" s="6">
        <f t="shared" si="125"/>
        <v>5.253196239948589E-2</v>
      </c>
      <c r="E310" s="11">
        <f t="shared" si="126"/>
        <v>822945</v>
      </c>
      <c r="F310" s="12">
        <f t="shared" si="127"/>
        <v>5.9101142961789956E-2</v>
      </c>
      <c r="G310" s="13">
        <v>3</v>
      </c>
      <c r="H310" s="11">
        <v>162709</v>
      </c>
      <c r="I310" s="12">
        <f t="shared" si="128"/>
        <v>5.3671264371607588E-2</v>
      </c>
      <c r="J310" s="13"/>
      <c r="K310" s="11">
        <v>15696</v>
      </c>
      <c r="L310" s="12">
        <f t="shared" si="129"/>
        <v>1.2743424909108918E-2</v>
      </c>
      <c r="M310" s="13"/>
      <c r="N310" s="11">
        <v>10480</v>
      </c>
      <c r="O310" s="12">
        <f t="shared" si="130"/>
        <v>9.7615772026188596E-3</v>
      </c>
      <c r="P310" s="13"/>
    </row>
    <row r="311" spans="1:16">
      <c r="A311" s="4">
        <f t="shared" si="131"/>
        <v>3</v>
      </c>
      <c r="B311" t="s">
        <v>25</v>
      </c>
      <c r="C311" s="5">
        <v>853603</v>
      </c>
      <c r="D311" s="6">
        <f t="shared" si="125"/>
        <v>4.4317168595602377E-2</v>
      </c>
      <c r="E311" s="11">
        <f t="shared" ref="E311" si="132">+C311-H311-K311-N311</f>
        <v>8993</v>
      </c>
      <c r="F311" s="12">
        <f t="shared" si="127"/>
        <v>6.4584702337990648E-4</v>
      </c>
      <c r="G311" s="13"/>
      <c r="H311" s="11">
        <v>843322</v>
      </c>
      <c r="I311" s="12">
        <f t="shared" si="128"/>
        <v>0.27817857655318917</v>
      </c>
      <c r="J311" s="13">
        <v>3</v>
      </c>
      <c r="K311" s="11">
        <v>992</v>
      </c>
      <c r="L311" s="12">
        <f t="shared" si="129"/>
        <v>8.0539484644725069E-4</v>
      </c>
      <c r="M311" s="13"/>
      <c r="N311" s="11">
        <v>296</v>
      </c>
      <c r="O311" s="12">
        <f t="shared" si="130"/>
        <v>2.7570866908160137E-4</v>
      </c>
      <c r="P311" s="13"/>
    </row>
    <row r="312" spans="1:16">
      <c r="A312" s="4">
        <f t="shared" si="131"/>
        <v>1</v>
      </c>
      <c r="B312" t="s">
        <v>27</v>
      </c>
      <c r="C312" s="5">
        <v>360952</v>
      </c>
      <c r="D312" s="6">
        <f t="shared" si="125"/>
        <v>1.8739824765048704E-2</v>
      </c>
      <c r="E312" s="11">
        <f t="shared" ref="E312" si="133">+C312-H312-K312-N312</f>
        <v>103588</v>
      </c>
      <c r="F312" s="12">
        <f t="shared" si="127"/>
        <v>7.4393418723315632E-3</v>
      </c>
      <c r="G312" s="13"/>
      <c r="H312" s="11">
        <v>39692</v>
      </c>
      <c r="I312" s="12">
        <f t="shared" si="128"/>
        <v>1.3092821082041243E-2</v>
      </c>
      <c r="J312" s="13"/>
      <c r="K312" s="11">
        <v>7242</v>
      </c>
      <c r="L312" s="12">
        <f t="shared" si="129"/>
        <v>5.8797071350514011E-3</v>
      </c>
      <c r="M312" s="13"/>
      <c r="N312" s="20">
        <v>210430</v>
      </c>
      <c r="O312" s="12">
        <f t="shared" si="130"/>
        <v>0.19600464606365331</v>
      </c>
      <c r="P312" s="13">
        <v>1</v>
      </c>
    </row>
    <row r="313" spans="1:16">
      <c r="A313" s="4" t="s">
        <v>147</v>
      </c>
      <c r="B313" t="s">
        <v>150</v>
      </c>
      <c r="C313" s="5">
        <v>326911</v>
      </c>
      <c r="D313" s="6">
        <f t="shared" si="125"/>
        <v>1.6972491782194964E-2</v>
      </c>
      <c r="E313" s="11">
        <f>+C313-H313-K313-N313</f>
        <v>30116</v>
      </c>
      <c r="F313" s="12">
        <f t="shared" si="127"/>
        <v>2.1628298627943137E-3</v>
      </c>
      <c r="G313" s="13"/>
      <c r="H313" s="11">
        <v>112107</v>
      </c>
      <c r="I313" s="12">
        <f t="shared" si="128"/>
        <v>3.6979665752403447E-2</v>
      </c>
      <c r="J313" s="13"/>
      <c r="K313" s="11">
        <v>12277</v>
      </c>
      <c r="L313" s="12">
        <f t="shared" si="129"/>
        <v>9.9675731147509036E-3</v>
      </c>
      <c r="M313" s="13"/>
      <c r="N313" s="11">
        <v>172411</v>
      </c>
      <c r="O313" s="12">
        <f t="shared" si="130"/>
        <v>0.16059191670617559</v>
      </c>
      <c r="P313" s="13">
        <v>1</v>
      </c>
    </row>
    <row r="314" spans="1:16">
      <c r="A314" s="4">
        <f>+G314+J314+M314+P314</f>
        <v>0</v>
      </c>
      <c r="B314" t="s">
        <v>149</v>
      </c>
      <c r="C314" s="5">
        <v>261328</v>
      </c>
      <c r="D314" s="6">
        <f t="shared" si="125"/>
        <v>1.3567568336511912E-2</v>
      </c>
      <c r="E314" s="11">
        <f>+C314-H314-K314-N314</f>
        <v>96037</v>
      </c>
      <c r="F314" s="12">
        <f t="shared" si="127"/>
        <v>6.897054440602254E-3</v>
      </c>
      <c r="G314" s="13"/>
      <c r="H314" s="11">
        <v>24914</v>
      </c>
      <c r="I314" s="12">
        <f t="shared" si="128"/>
        <v>8.2181433144708129E-3</v>
      </c>
      <c r="J314" s="13"/>
      <c r="K314" s="11">
        <v>36062</v>
      </c>
      <c r="L314" s="12">
        <f t="shared" si="129"/>
        <v>2.9278375960262858E-2</v>
      </c>
      <c r="M314" s="13"/>
      <c r="N314" s="11">
        <v>104315</v>
      </c>
      <c r="O314" s="12">
        <f t="shared" si="130"/>
        <v>9.7164019646105562E-2</v>
      </c>
      <c r="P314" s="13"/>
    </row>
    <row r="315" spans="1:16">
      <c r="A315" s="4" t="s">
        <v>148</v>
      </c>
      <c r="B315" t="s">
        <v>151</v>
      </c>
      <c r="C315" s="5">
        <v>226570</v>
      </c>
      <c r="D315" s="6">
        <f t="shared" si="125"/>
        <v>1.1763010308897263E-2</v>
      </c>
      <c r="E315" s="11">
        <f>+C315-H315-K315-N315</f>
        <v>9711</v>
      </c>
      <c r="F315" s="12">
        <f t="shared" si="127"/>
        <v>6.9741136929192386E-4</v>
      </c>
      <c r="G315" s="13"/>
      <c r="H315" s="11">
        <v>3402</v>
      </c>
      <c r="I315" s="12">
        <f t="shared" si="128"/>
        <v>1.1221852595259575E-3</v>
      </c>
      <c r="J315" s="13"/>
      <c r="K315" s="11">
        <v>5322</v>
      </c>
      <c r="L315" s="12">
        <f t="shared" si="129"/>
        <v>4.3208783999922062E-3</v>
      </c>
      <c r="M315" s="13"/>
      <c r="N315" s="11">
        <v>208135</v>
      </c>
      <c r="O315" s="12">
        <f t="shared" si="130"/>
        <v>0.19386697243006454</v>
      </c>
      <c r="P315" s="13">
        <v>1</v>
      </c>
    </row>
    <row r="316" spans="1:16">
      <c r="A316" s="4">
        <f>+G316+J316+M316+P316</f>
        <v>0</v>
      </c>
      <c r="B316" t="s">
        <v>67</v>
      </c>
      <c r="C316" s="5">
        <v>222680</v>
      </c>
      <c r="D316" s="6">
        <f t="shared" si="125"/>
        <v>1.1561050163681169E-2</v>
      </c>
      <c r="E316" s="11">
        <f>+C316-H316-K316-N316</f>
        <v>176739</v>
      </c>
      <c r="F316" s="12">
        <f t="shared" si="127"/>
        <v>1.2692800741147701E-2</v>
      </c>
      <c r="G316" s="13"/>
      <c r="H316" s="11">
        <v>24429</v>
      </c>
      <c r="I316" s="12">
        <f t="shared" si="128"/>
        <v>8.0581609949910687E-3</v>
      </c>
      <c r="J316" s="13"/>
      <c r="K316" s="11">
        <v>13091</v>
      </c>
      <c r="L316" s="12">
        <f t="shared" si="129"/>
        <v>1.0628451547218708E-2</v>
      </c>
      <c r="M316" s="13"/>
      <c r="N316" s="11">
        <v>8421</v>
      </c>
      <c r="O316" s="12">
        <f t="shared" si="130"/>
        <v>7.8437253457302875E-3</v>
      </c>
      <c r="P316" s="13"/>
    </row>
    <row r="317" spans="1:16">
      <c r="A317" s="4">
        <f>+G317+J317+M317+P317</f>
        <v>0</v>
      </c>
      <c r="B317" t="s">
        <v>55</v>
      </c>
      <c r="C317" s="5">
        <v>185550</v>
      </c>
      <c r="D317" s="6">
        <f t="shared" si="125"/>
        <v>9.6333431734823109E-3</v>
      </c>
      <c r="E317" s="11">
        <f>+C317-H317-K317-N317</f>
        <v>178780</v>
      </c>
      <c r="F317" s="12">
        <f t="shared" si="127"/>
        <v>1.2839378498816821E-2</v>
      </c>
      <c r="G317" s="13"/>
      <c r="H317" s="11">
        <v>5578</v>
      </c>
      <c r="I317" s="12">
        <f t="shared" si="128"/>
        <v>1.8399616042433248E-3</v>
      </c>
      <c r="J317" s="13"/>
      <c r="K317" s="11">
        <v>674</v>
      </c>
      <c r="L317" s="12">
        <f t="shared" si="129"/>
        <v>5.4721383720307158E-4</v>
      </c>
      <c r="M317" s="13"/>
      <c r="N317" s="11">
        <v>518</v>
      </c>
      <c r="O317" s="12">
        <f t="shared" si="130"/>
        <v>4.8249017089280243E-4</v>
      </c>
      <c r="P317" s="13"/>
    </row>
    <row r="318" spans="1:16">
      <c r="A318" s="4">
        <f t="shared" ref="A318:A325" si="134">+G318+J318+M318+P318</f>
        <v>0</v>
      </c>
      <c r="B318" t="s">
        <v>142</v>
      </c>
      <c r="C318" s="5">
        <v>170866</v>
      </c>
      <c r="D318" s="6">
        <f t="shared" si="125"/>
        <v>8.8709825636228978E-3</v>
      </c>
      <c r="E318" s="11">
        <f t="shared" ref="E318:E325" si="135">+C318-H318-K318-N318</f>
        <v>138258</v>
      </c>
      <c r="F318" s="12">
        <f t="shared" si="127"/>
        <v>9.9292247034870572E-3</v>
      </c>
      <c r="G318" s="13"/>
      <c r="H318" s="11">
        <v>7769</v>
      </c>
      <c r="I318" s="12">
        <f t="shared" si="128"/>
        <v>2.5626858557487257E-3</v>
      </c>
      <c r="J318" s="13"/>
      <c r="K318" s="11">
        <v>22666</v>
      </c>
      <c r="L318" s="12">
        <f t="shared" si="129"/>
        <v>1.8402297973360265E-2</v>
      </c>
      <c r="M318" s="13"/>
      <c r="N318" s="11">
        <v>2173</v>
      </c>
      <c r="O318" s="12">
        <f t="shared" si="130"/>
        <v>2.0240369524132428E-3</v>
      </c>
      <c r="P318" s="13"/>
    </row>
    <row r="319" spans="1:16">
      <c r="A319" s="4">
        <f t="shared" si="134"/>
        <v>0</v>
      </c>
      <c r="B319" t="s">
        <v>143</v>
      </c>
      <c r="C319" s="5">
        <v>162128</v>
      </c>
      <c r="D319" s="6">
        <f t="shared" si="125"/>
        <v>8.4173250446259243E-3</v>
      </c>
      <c r="E319" s="11">
        <f t="shared" si="135"/>
        <v>159552</v>
      </c>
      <c r="F319" s="12">
        <f t="shared" si="127"/>
        <v>1.1458488187958504E-2</v>
      </c>
      <c r="G319" s="13"/>
      <c r="H319" s="11">
        <v>1521</v>
      </c>
      <c r="I319" s="12">
        <f t="shared" si="128"/>
        <v>5.0171774830657886E-4</v>
      </c>
      <c r="J319" s="13"/>
      <c r="K319" s="11">
        <v>807</v>
      </c>
      <c r="L319" s="12">
        <f t="shared" si="129"/>
        <v>6.5519520270456788E-4</v>
      </c>
      <c r="M319" s="13"/>
      <c r="N319" s="11">
        <v>248</v>
      </c>
      <c r="O319" s="12">
        <f t="shared" si="130"/>
        <v>2.3099915517647683E-4</v>
      </c>
      <c r="P319" s="13"/>
    </row>
    <row r="320" spans="1:16">
      <c r="A320" s="4">
        <f t="shared" si="134"/>
        <v>0</v>
      </c>
      <c r="B320" t="s">
        <v>45</v>
      </c>
      <c r="C320" s="5">
        <v>122799</v>
      </c>
      <c r="D320" s="6">
        <f t="shared" si="125"/>
        <v>6.3754508669385847E-3</v>
      </c>
      <c r="E320" s="11">
        <f t="shared" si="135"/>
        <v>106907</v>
      </c>
      <c r="F320" s="12">
        <f t="shared" si="127"/>
        <v>7.677701293058563E-3</v>
      </c>
      <c r="G320" s="13"/>
      <c r="H320" s="11">
        <v>10793</v>
      </c>
      <c r="I320" s="12">
        <f t="shared" si="128"/>
        <v>3.5601838642162435E-3</v>
      </c>
      <c r="J320" s="13"/>
      <c r="K320" s="11">
        <v>2812</v>
      </c>
      <c r="L320" s="12">
        <f t="shared" si="129"/>
        <v>2.2830345848887791E-3</v>
      </c>
      <c r="M320" s="13"/>
      <c r="N320" s="11">
        <v>2287</v>
      </c>
      <c r="O320" s="12">
        <f t="shared" si="130"/>
        <v>2.1302220479379134E-3</v>
      </c>
      <c r="P320" s="13"/>
    </row>
    <row r="321" spans="1:16">
      <c r="A321" s="4">
        <f t="shared" si="134"/>
        <v>0</v>
      </c>
      <c r="B321" t="s">
        <v>144</v>
      </c>
      <c r="C321" s="5">
        <v>116761</v>
      </c>
      <c r="D321" s="6">
        <f t="shared" si="125"/>
        <v>6.0619713407651203E-3</v>
      </c>
      <c r="E321" s="11">
        <f t="shared" si="135"/>
        <v>89198</v>
      </c>
      <c r="F321" s="12">
        <f t="shared" si="127"/>
        <v>6.4059004549583999E-3</v>
      </c>
      <c r="G321" s="13"/>
      <c r="H321" s="11">
        <v>14657</v>
      </c>
      <c r="I321" s="12">
        <f t="shared" si="128"/>
        <v>4.834764652813627E-3</v>
      </c>
      <c r="J321" s="13"/>
      <c r="K321" s="11">
        <v>11663</v>
      </c>
      <c r="L321" s="12">
        <f t="shared" si="129"/>
        <v>9.4690726755184331E-3</v>
      </c>
      <c r="M321" s="13"/>
      <c r="N321" s="11">
        <v>1243</v>
      </c>
      <c r="O321" s="12">
        <f t="shared" si="130"/>
        <v>1.1577901205014544E-3</v>
      </c>
      <c r="P321" s="13"/>
    </row>
    <row r="322" spans="1:16">
      <c r="A322" s="4">
        <f t="shared" si="134"/>
        <v>0</v>
      </c>
      <c r="B322" t="s">
        <v>117</v>
      </c>
      <c r="C322" s="5">
        <v>107625</v>
      </c>
      <c r="D322" s="6">
        <f t="shared" si="125"/>
        <v>5.5876505472704594E-3</v>
      </c>
      <c r="E322" s="11">
        <f t="shared" si="135"/>
        <v>77577</v>
      </c>
      <c r="F322" s="12">
        <f t="shared" si="127"/>
        <v>5.5713193075439789E-3</v>
      </c>
      <c r="G322" s="13"/>
      <c r="H322" s="11">
        <v>23341</v>
      </c>
      <c r="I322" s="12">
        <f t="shared" si="128"/>
        <v>7.699272822632385E-3</v>
      </c>
      <c r="J322" s="13"/>
      <c r="K322" s="11">
        <v>3841</v>
      </c>
      <c r="L322" s="12">
        <f t="shared" si="129"/>
        <v>3.1184693600845663E-3</v>
      </c>
      <c r="M322" s="13"/>
      <c r="N322" s="11">
        <v>2866</v>
      </c>
      <c r="O322" s="12">
        <f t="shared" si="130"/>
        <v>2.6695305594184784E-3</v>
      </c>
      <c r="P322" s="13"/>
    </row>
    <row r="323" spans="1:16">
      <c r="A323" s="4">
        <f t="shared" si="134"/>
        <v>0</v>
      </c>
      <c r="B323" t="s">
        <v>145</v>
      </c>
      <c r="C323" s="5">
        <v>105865</v>
      </c>
      <c r="D323" s="6">
        <f t="shared" si="125"/>
        <v>5.4962752630595786E-3</v>
      </c>
      <c r="E323" s="11">
        <f t="shared" si="135"/>
        <v>98372</v>
      </c>
      <c r="F323" s="12">
        <f t="shared" si="127"/>
        <v>7.0647462897729515E-3</v>
      </c>
      <c r="G323" s="13"/>
      <c r="H323" s="11">
        <v>6259</v>
      </c>
      <c r="I323" s="12">
        <f t="shared" si="128"/>
        <v>2.0645965724200377E-3</v>
      </c>
      <c r="J323" s="13"/>
      <c r="K323" s="11">
        <v>784</v>
      </c>
      <c r="L323" s="12">
        <f t="shared" si="129"/>
        <v>6.3652173348250458E-4</v>
      </c>
      <c r="M323" s="13"/>
      <c r="N323" s="11">
        <v>450</v>
      </c>
      <c r="O323" s="12">
        <f t="shared" si="130"/>
        <v>4.1915169286054263E-4</v>
      </c>
      <c r="P323" s="13"/>
    </row>
    <row r="324" spans="1:16">
      <c r="A324" s="4">
        <f t="shared" si="134"/>
        <v>0</v>
      </c>
      <c r="B324" t="s">
        <v>146</v>
      </c>
      <c r="C324" s="5">
        <v>96865</v>
      </c>
      <c r="D324" s="6">
        <f t="shared" si="125"/>
        <v>5.0290152869812126E-3</v>
      </c>
      <c r="E324" s="11">
        <f t="shared" si="135"/>
        <v>94074</v>
      </c>
      <c r="F324" s="12">
        <f t="shared" si="127"/>
        <v>6.7560783806784519E-3</v>
      </c>
      <c r="G324" s="13"/>
      <c r="H324" s="11">
        <v>1495</v>
      </c>
      <c r="I324" s="12">
        <f t="shared" si="128"/>
        <v>4.9314137654065445E-4</v>
      </c>
      <c r="J324" s="13"/>
      <c r="K324" s="11">
        <v>1064</v>
      </c>
      <c r="L324" s="12">
        <f t="shared" si="129"/>
        <v>8.6385092401197055E-4</v>
      </c>
      <c r="M324" s="13"/>
      <c r="N324" s="11">
        <v>232</v>
      </c>
      <c r="O324" s="12">
        <f t="shared" si="130"/>
        <v>2.1609598387476865E-4</v>
      </c>
      <c r="P324" s="13"/>
    </row>
    <row r="325" spans="1:16">
      <c r="A325" s="4">
        <f t="shared" si="134"/>
        <v>0</v>
      </c>
      <c r="B325" t="s">
        <v>58</v>
      </c>
      <c r="C325" s="5">
        <v>53116</v>
      </c>
      <c r="D325" s="6">
        <f t="shared" si="125"/>
        <v>2.757664543264276E-3</v>
      </c>
      <c r="E325" s="14">
        <f t="shared" si="135"/>
        <v>4853</v>
      </c>
      <c r="F325" s="15">
        <f t="shared" si="127"/>
        <v>3.4852614305156077E-4</v>
      </c>
      <c r="G325" s="16"/>
      <c r="H325" s="14">
        <v>2152</v>
      </c>
      <c r="I325" s="15">
        <f t="shared" si="128"/>
        <v>7.0985969385651399E-4</v>
      </c>
      <c r="J325" s="16"/>
      <c r="K325" s="14">
        <v>45525</v>
      </c>
      <c r="L325" s="15">
        <f t="shared" si="129"/>
        <v>3.6961290710192628E-2</v>
      </c>
      <c r="M325" s="16"/>
      <c r="N325" s="14">
        <v>586</v>
      </c>
      <c r="O325" s="15">
        <f t="shared" si="130"/>
        <v>5.4582864892506217E-4</v>
      </c>
      <c r="P325" s="16"/>
    </row>
    <row r="326" spans="1:16">
      <c r="A326" s="2">
        <f>SUM(A307:A325)+2</f>
        <v>60</v>
      </c>
      <c r="C326" s="3">
        <v>19261226</v>
      </c>
      <c r="D326" s="22"/>
      <c r="E326" s="21">
        <f t="shared" ref="E326" si="136">+C326-H326-K326-N326</f>
        <v>13924350</v>
      </c>
      <c r="G326" s="2">
        <f>SUM(G307:G325)</f>
        <v>42</v>
      </c>
      <c r="H326" s="3">
        <v>3031585</v>
      </c>
      <c r="J326" s="2">
        <f>SUM(J307:J325)</f>
        <v>9</v>
      </c>
      <c r="K326" s="3">
        <v>1231694</v>
      </c>
      <c r="M326" s="2">
        <f>SUM(M307:M325)</f>
        <v>5</v>
      </c>
      <c r="N326" s="3">
        <v>1073597</v>
      </c>
      <c r="P326" s="2">
        <f>SUM(P307:P325)</f>
        <v>4</v>
      </c>
    </row>
    <row r="327" spans="1:16">
      <c r="A327" s="2"/>
      <c r="B327" t="s">
        <v>162</v>
      </c>
      <c r="C327" s="3"/>
      <c r="D327" s="22"/>
      <c r="E327" s="21"/>
      <c r="G327" s="2"/>
      <c r="H327" s="3"/>
      <c r="J327" s="2"/>
      <c r="K327" s="3"/>
      <c r="M327" s="2"/>
      <c r="N327" s="3"/>
      <c r="P327" s="2"/>
    </row>
    <row r="329" spans="1:16">
      <c r="A329" s="7" t="s">
        <v>152</v>
      </c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1:16">
      <c r="C330" t="s">
        <v>2</v>
      </c>
      <c r="E330" t="s">
        <v>5</v>
      </c>
      <c r="H330" t="s">
        <v>7</v>
      </c>
      <c r="K330" t="s">
        <v>8</v>
      </c>
      <c r="N330" t="s">
        <v>9</v>
      </c>
    </row>
    <row r="331" spans="1:16">
      <c r="A331" t="s">
        <v>6</v>
      </c>
      <c r="C331" t="s">
        <v>3</v>
      </c>
      <c r="D331" t="s">
        <v>4</v>
      </c>
      <c r="E331" s="18" t="s">
        <v>3</v>
      </c>
      <c r="F331" s="18" t="s">
        <v>4</v>
      </c>
      <c r="G331" t="s">
        <v>6</v>
      </c>
      <c r="H331" t="s">
        <v>3</v>
      </c>
      <c r="I331" s="18" t="s">
        <v>4</v>
      </c>
      <c r="J331" t="s">
        <v>6</v>
      </c>
      <c r="K331" t="s">
        <v>3</v>
      </c>
      <c r="L331" s="18" t="s">
        <v>4</v>
      </c>
      <c r="M331" t="s">
        <v>6</v>
      </c>
      <c r="N331" t="s">
        <v>3</v>
      </c>
      <c r="O331" s="18" t="s">
        <v>4</v>
      </c>
      <c r="P331" t="s">
        <v>6</v>
      </c>
    </row>
    <row r="332" spans="1:16">
      <c r="A332" s="4">
        <f>+G332+J332+M332+P332</f>
        <v>29</v>
      </c>
      <c r="B332" t="s">
        <v>11</v>
      </c>
      <c r="C332" s="5">
        <v>6275552</v>
      </c>
      <c r="D332" s="6">
        <f t="shared" ref="D332:D349" si="137">+C332/C$350</f>
        <v>0.39572241206118874</v>
      </c>
      <c r="E332" s="20">
        <f t="shared" ref="E332:E337" si="138">+C332-H332-K332-N332</f>
        <v>4925251</v>
      </c>
      <c r="F332" s="12">
        <f t="shared" ref="F332:F349" si="139">+E332/E$350</f>
        <v>0.42533571094673694</v>
      </c>
      <c r="G332" s="10">
        <v>21</v>
      </c>
      <c r="H332" s="19">
        <v>865506</v>
      </c>
      <c r="I332" s="12">
        <f t="shared" ref="I332:I349" si="140">+H332/H$350</f>
        <v>0.36358618256058678</v>
      </c>
      <c r="J332" s="10">
        <v>5</v>
      </c>
      <c r="K332" s="8">
        <v>309019</v>
      </c>
      <c r="L332" s="12">
        <f t="shared" ref="L332:L349" si="141">+K332/K$350</f>
        <v>0.33045141807340489</v>
      </c>
      <c r="M332" s="10">
        <v>2</v>
      </c>
      <c r="N332" s="23">
        <v>175776</v>
      </c>
      <c r="O332" s="12">
        <f t="shared" ref="O332:O349" si="142">+N332/N$350</f>
        <v>0.18249567318224338</v>
      </c>
      <c r="P332" s="10">
        <v>1</v>
      </c>
    </row>
    <row r="333" spans="1:16">
      <c r="A333" s="4">
        <f t="shared" ref="A333:A341" si="143">+G333+J333+M333+P333</f>
        <v>15</v>
      </c>
      <c r="B333" t="s">
        <v>153</v>
      </c>
      <c r="C333" s="5">
        <v>3395015</v>
      </c>
      <c r="D333" s="6">
        <f t="shared" si="137"/>
        <v>0.21408212772102228</v>
      </c>
      <c r="E333" s="11">
        <f t="shared" si="138"/>
        <v>2804013</v>
      </c>
      <c r="F333" s="12">
        <f t="shared" si="139"/>
        <v>0.24214945854716699</v>
      </c>
      <c r="G333" s="13">
        <v>11</v>
      </c>
      <c r="H333" s="11">
        <v>204624</v>
      </c>
      <c r="I333" s="12">
        <f t="shared" si="140"/>
        <v>8.595949539376678E-2</v>
      </c>
      <c r="J333" s="13">
        <v>1</v>
      </c>
      <c r="K333" s="20">
        <v>313124</v>
      </c>
      <c r="L333" s="12">
        <f t="shared" si="141"/>
        <v>0.33484112573277641</v>
      </c>
      <c r="M333" s="13">
        <v>3</v>
      </c>
      <c r="N333" s="11">
        <v>73254</v>
      </c>
      <c r="O333" s="12">
        <f t="shared" si="142"/>
        <v>7.6054399026556849E-2</v>
      </c>
      <c r="P333" s="13"/>
    </row>
    <row r="334" spans="1:16">
      <c r="A334" s="4">
        <f t="shared" si="143"/>
        <v>4</v>
      </c>
      <c r="B334" t="s">
        <v>43</v>
      </c>
      <c r="C334" s="5">
        <v>1133429</v>
      </c>
      <c r="D334" s="6">
        <f t="shared" si="137"/>
        <v>7.1471522788768393E-2</v>
      </c>
      <c r="E334" s="11">
        <f t="shared" si="138"/>
        <v>957122</v>
      </c>
      <c r="F334" s="12">
        <f t="shared" si="139"/>
        <v>8.2655313674930023E-2</v>
      </c>
      <c r="G334" s="13">
        <v>4</v>
      </c>
      <c r="H334" s="11">
        <v>87119</v>
      </c>
      <c r="I334" s="12">
        <f t="shared" si="140"/>
        <v>3.6597394632152475E-2</v>
      </c>
      <c r="J334" s="13"/>
      <c r="K334" s="11">
        <v>62947</v>
      </c>
      <c r="L334" s="12">
        <f t="shared" si="141"/>
        <v>6.7312771750172695E-2</v>
      </c>
      <c r="M334" s="13"/>
      <c r="N334" s="11">
        <v>26241</v>
      </c>
      <c r="O334" s="12">
        <f t="shared" si="142"/>
        <v>2.7244157108907065E-2</v>
      </c>
      <c r="P334" s="13"/>
    </row>
    <row r="335" spans="1:16">
      <c r="A335" s="4">
        <f t="shared" si="143"/>
        <v>3</v>
      </c>
      <c r="B335" t="s">
        <v>62</v>
      </c>
      <c r="C335" s="5">
        <v>961742</v>
      </c>
      <c r="D335" s="6">
        <f t="shared" si="137"/>
        <v>6.0645320765496294E-2</v>
      </c>
      <c r="E335" s="11">
        <f t="shared" si="138"/>
        <v>794480</v>
      </c>
      <c r="F335" s="12">
        <f t="shared" si="139"/>
        <v>6.8609846611464798E-2</v>
      </c>
      <c r="G335" s="13">
        <v>3</v>
      </c>
      <c r="H335" s="11">
        <v>131658</v>
      </c>
      <c r="I335" s="12">
        <f t="shared" si="140"/>
        <v>5.5307565312732357E-2</v>
      </c>
      <c r="J335" s="13"/>
      <c r="K335" s="11">
        <v>18587</v>
      </c>
      <c r="L335" s="12">
        <f t="shared" si="141"/>
        <v>1.9876125764857103E-2</v>
      </c>
      <c r="M335" s="13"/>
      <c r="N335" s="11">
        <v>17017</v>
      </c>
      <c r="O335" s="12">
        <f t="shared" si="142"/>
        <v>1.7667536356170556E-2</v>
      </c>
      <c r="P335" s="13"/>
    </row>
    <row r="336" spans="1:16">
      <c r="A336" s="4">
        <f t="shared" si="143"/>
        <v>3</v>
      </c>
      <c r="B336" t="s">
        <v>25</v>
      </c>
      <c r="C336" s="5">
        <v>666602</v>
      </c>
      <c r="D336" s="6">
        <f t="shared" si="137"/>
        <v>4.203444594592038E-2</v>
      </c>
      <c r="E336" s="11">
        <f t="shared" si="138"/>
        <v>9716</v>
      </c>
      <c r="F336" s="12">
        <f t="shared" si="139"/>
        <v>8.3905607400688745E-4</v>
      </c>
      <c r="G336" s="13"/>
      <c r="H336" s="11">
        <v>655339</v>
      </c>
      <c r="I336" s="12">
        <f t="shared" si="140"/>
        <v>0.27529815540628533</v>
      </c>
      <c r="J336" s="13">
        <v>3</v>
      </c>
      <c r="K336" s="11">
        <v>1103</v>
      </c>
      <c r="L336" s="12">
        <f t="shared" si="141"/>
        <v>1.1795000117629194E-3</v>
      </c>
      <c r="M336" s="13"/>
      <c r="N336" s="11">
        <v>444</v>
      </c>
      <c r="O336" s="12">
        <f t="shared" si="142"/>
        <v>4.6097350544395177E-4</v>
      </c>
      <c r="P336" s="13"/>
    </row>
    <row r="337" spans="1:16">
      <c r="A337" s="4">
        <f t="shared" si="143"/>
        <v>2</v>
      </c>
      <c r="B337" t="s">
        <v>154</v>
      </c>
      <c r="C337" s="5">
        <v>608560</v>
      </c>
      <c r="D337" s="6">
        <f t="shared" si="137"/>
        <v>3.8374445958531941E-2</v>
      </c>
      <c r="E337" s="11">
        <f t="shared" si="138"/>
        <v>485546</v>
      </c>
      <c r="F337" s="12">
        <f t="shared" si="139"/>
        <v>4.193086872269948E-2</v>
      </c>
      <c r="G337" s="13">
        <v>2</v>
      </c>
      <c r="H337" s="11">
        <v>68613</v>
      </c>
      <c r="I337" s="12">
        <f t="shared" si="140"/>
        <v>2.882329960049906E-2</v>
      </c>
      <c r="J337" s="13"/>
      <c r="K337" s="11">
        <v>40603</v>
      </c>
      <c r="L337" s="12">
        <f t="shared" si="141"/>
        <v>4.3419074322402371E-2</v>
      </c>
      <c r="M337" s="13"/>
      <c r="N337" s="20">
        <v>13798</v>
      </c>
      <c r="O337" s="12">
        <f t="shared" si="142"/>
        <v>1.4325478441701905E-2</v>
      </c>
      <c r="P337" s="13"/>
    </row>
    <row r="338" spans="1:16">
      <c r="A338" s="4" t="s">
        <v>148</v>
      </c>
      <c r="B338" t="s">
        <v>155</v>
      </c>
      <c r="C338" s="5">
        <v>303038</v>
      </c>
      <c r="D338" s="6">
        <f t="shared" si="137"/>
        <v>1.9108905209645068E-2</v>
      </c>
      <c r="E338" s="11">
        <f>+C338-H338-K338-N338</f>
        <v>71120</v>
      </c>
      <c r="F338" s="12">
        <f t="shared" si="139"/>
        <v>6.1417937405691472E-3</v>
      </c>
      <c r="G338" s="13"/>
      <c r="H338" s="11">
        <v>1553</v>
      </c>
      <c r="I338" s="12">
        <f t="shared" si="140"/>
        <v>6.5239217465458497E-4</v>
      </c>
      <c r="J338" s="13"/>
      <c r="K338" s="11">
        <v>28556</v>
      </c>
      <c r="L338" s="12">
        <f t="shared" si="141"/>
        <v>3.0536538835813171E-2</v>
      </c>
      <c r="M338" s="13"/>
      <c r="N338" s="20">
        <v>201809</v>
      </c>
      <c r="O338" s="12">
        <f t="shared" si="142"/>
        <v>0.2095238787390506</v>
      </c>
      <c r="P338" s="13">
        <v>1</v>
      </c>
    </row>
    <row r="339" spans="1:16">
      <c r="A339" s="4">
        <f t="shared" si="143"/>
        <v>1</v>
      </c>
      <c r="B339" t="s">
        <v>55</v>
      </c>
      <c r="C339" s="5">
        <v>295047</v>
      </c>
      <c r="D339" s="6">
        <f t="shared" si="137"/>
        <v>1.8605010445522173E-2</v>
      </c>
      <c r="E339" s="11">
        <f>+C339-H339-K339-N339</f>
        <v>282721</v>
      </c>
      <c r="F339" s="12">
        <f t="shared" si="139"/>
        <v>2.4415270924176741E-2</v>
      </c>
      <c r="G339" s="13">
        <v>1</v>
      </c>
      <c r="H339" s="11">
        <v>10866</v>
      </c>
      <c r="I339" s="12">
        <f t="shared" si="140"/>
        <v>4.5646447970358797E-3</v>
      </c>
      <c r="J339" s="13"/>
      <c r="K339" s="11">
        <v>872</v>
      </c>
      <c r="L339" s="12">
        <f t="shared" si="141"/>
        <v>9.3247870376905327E-4</v>
      </c>
      <c r="M339" s="13"/>
      <c r="N339" s="11">
        <v>588</v>
      </c>
      <c r="O339" s="12">
        <f t="shared" si="142"/>
        <v>6.104784261284766E-4</v>
      </c>
      <c r="P339" s="13"/>
    </row>
    <row r="340" spans="1:16">
      <c r="A340" s="4">
        <f t="shared" si="143"/>
        <v>0</v>
      </c>
      <c r="B340" t="s">
        <v>156</v>
      </c>
      <c r="C340" s="5">
        <v>290286</v>
      </c>
      <c r="D340" s="6">
        <f t="shared" si="137"/>
        <v>1.8304792328642044E-2</v>
      </c>
      <c r="E340" s="11">
        <f>+C340-H340-K340-N340</f>
        <v>148292</v>
      </c>
      <c r="F340" s="12">
        <f t="shared" si="139"/>
        <v>1.2806227184708661E-2</v>
      </c>
      <c r="G340" s="13"/>
      <c r="H340" s="11">
        <v>16032</v>
      </c>
      <c r="I340" s="12">
        <f t="shared" si="140"/>
        <v>6.734804471385903E-3</v>
      </c>
      <c r="J340" s="13"/>
      <c r="K340" s="11">
        <v>31229</v>
      </c>
      <c r="L340" s="12">
        <f t="shared" si="141"/>
        <v>3.3394928256885052E-2</v>
      </c>
      <c r="M340" s="13"/>
      <c r="N340" s="11">
        <v>94733</v>
      </c>
      <c r="O340" s="12">
        <f t="shared" si="142"/>
        <v>9.8354511466715949E-2</v>
      </c>
      <c r="P340" s="13"/>
    </row>
    <row r="341" spans="1:16">
      <c r="A341" s="4">
        <f t="shared" si="143"/>
        <v>1</v>
      </c>
      <c r="B341" t="s">
        <v>27</v>
      </c>
      <c r="C341" s="5">
        <v>269094</v>
      </c>
      <c r="D341" s="6">
        <f t="shared" si="137"/>
        <v>1.6968471737815818E-2</v>
      </c>
      <c r="E341" s="11">
        <f>+C341-H341-K341-N341</f>
        <v>64545</v>
      </c>
      <c r="F341" s="12">
        <f t="shared" si="139"/>
        <v>5.5739887090134367E-3</v>
      </c>
      <c r="G341" s="13"/>
      <c r="H341" s="11">
        <v>15427</v>
      </c>
      <c r="I341" s="12">
        <f t="shared" si="140"/>
        <v>6.4806529802938079E-3</v>
      </c>
      <c r="J341" s="13"/>
      <c r="K341" s="11">
        <v>4760</v>
      </c>
      <c r="L341" s="12">
        <f t="shared" si="141"/>
        <v>5.0901360435099694E-3</v>
      </c>
      <c r="M341" s="13"/>
      <c r="N341" s="11">
        <v>184362</v>
      </c>
      <c r="O341" s="12">
        <f t="shared" si="142"/>
        <v>0.19140990407805819</v>
      </c>
      <c r="P341" s="13">
        <v>1</v>
      </c>
    </row>
    <row r="342" spans="1:16">
      <c r="A342" s="4" t="s">
        <v>147</v>
      </c>
      <c r="B342" t="s">
        <v>150</v>
      </c>
      <c r="C342" s="5">
        <v>238909</v>
      </c>
      <c r="D342" s="6">
        <f t="shared" si="137"/>
        <v>1.5065072481771571E-2</v>
      </c>
      <c r="E342" s="11">
        <f>+C342-H342-K342-N342</f>
        <v>22368</v>
      </c>
      <c r="F342" s="12">
        <f t="shared" si="139"/>
        <v>1.9316597636255719E-3</v>
      </c>
      <c r="G342" s="13"/>
      <c r="H342" s="11">
        <v>78408</v>
      </c>
      <c r="I342" s="12">
        <f t="shared" si="140"/>
        <v>3.2938033245535549E-2</v>
      </c>
      <c r="J342" s="13"/>
      <c r="K342" s="11">
        <v>12906</v>
      </c>
      <c r="L342" s="12">
        <f t="shared" si="141"/>
        <v>1.3801112558306653E-2</v>
      </c>
      <c r="M342" s="13"/>
      <c r="N342" s="11">
        <v>125227</v>
      </c>
      <c r="O342" s="12">
        <f t="shared" si="142"/>
        <v>0.13001425487889581</v>
      </c>
      <c r="P342" s="13">
        <v>1</v>
      </c>
    </row>
    <row r="343" spans="1:16">
      <c r="A343" s="4">
        <f t="shared" ref="A343:A349" si="144">+G343+J343+M343+P343</f>
        <v>0</v>
      </c>
      <c r="B343" t="s">
        <v>67</v>
      </c>
      <c r="C343" s="5">
        <v>197095</v>
      </c>
      <c r="D343" s="6">
        <f t="shared" si="137"/>
        <v>1.2428374237867839E-2</v>
      </c>
      <c r="E343" s="11">
        <f t="shared" ref="E343:E350" si="145">+C343-H343-K343-N343</f>
        <v>157550</v>
      </c>
      <c r="F343" s="12">
        <f t="shared" si="139"/>
        <v>1.3605731212410982E-2</v>
      </c>
      <c r="G343" s="13"/>
      <c r="H343" s="11">
        <v>18637</v>
      </c>
      <c r="I343" s="12">
        <f t="shared" si="140"/>
        <v>7.8291261809642632E-3</v>
      </c>
      <c r="J343" s="13"/>
      <c r="K343" s="11">
        <v>11794</v>
      </c>
      <c r="L343" s="12">
        <f t="shared" si="141"/>
        <v>1.2611988339738778E-2</v>
      </c>
      <c r="M343" s="13"/>
      <c r="N343" s="11">
        <v>9114</v>
      </c>
      <c r="O343" s="12">
        <f t="shared" si="142"/>
        <v>9.4624156049913886E-3</v>
      </c>
      <c r="P343" s="13"/>
    </row>
    <row r="344" spans="1:16">
      <c r="A344" s="4">
        <f t="shared" si="144"/>
        <v>0</v>
      </c>
      <c r="B344" t="s">
        <v>157</v>
      </c>
      <c r="C344" s="5">
        <v>164557</v>
      </c>
      <c r="D344" s="6">
        <f t="shared" si="137"/>
        <v>1.0376600012485441E-2</v>
      </c>
      <c r="E344" s="11">
        <f t="shared" si="145"/>
        <v>122419</v>
      </c>
      <c r="F344" s="12">
        <f t="shared" si="139"/>
        <v>1.057188200121955E-2</v>
      </c>
      <c r="G344" s="13"/>
      <c r="H344" s="11">
        <v>29009</v>
      </c>
      <c r="I344" s="12">
        <f t="shared" si="140"/>
        <v>1.2186248934034036E-2</v>
      </c>
      <c r="J344" s="13"/>
      <c r="K344" s="11">
        <v>7867</v>
      </c>
      <c r="L344" s="12">
        <f t="shared" si="141"/>
        <v>8.4126261038430534E-3</v>
      </c>
      <c r="M344" s="13"/>
      <c r="N344" s="11">
        <v>5262</v>
      </c>
      <c r="O344" s="12">
        <f t="shared" si="142"/>
        <v>5.4631589766803469E-3</v>
      </c>
      <c r="P344" s="13"/>
    </row>
    <row r="345" spans="1:16">
      <c r="A345" s="4">
        <f t="shared" si="144"/>
        <v>0</v>
      </c>
      <c r="B345" t="s">
        <v>158</v>
      </c>
      <c r="C345" s="5">
        <v>161933</v>
      </c>
      <c r="D345" s="6">
        <f t="shared" si="137"/>
        <v>1.0211136383270265E-2</v>
      </c>
      <c r="E345" s="11">
        <f t="shared" si="145"/>
        <v>116597</v>
      </c>
      <c r="F345" s="12">
        <f t="shared" si="139"/>
        <v>1.006910467898117E-2</v>
      </c>
      <c r="G345" s="13"/>
      <c r="H345" s="11">
        <v>30490</v>
      </c>
      <c r="I345" s="12">
        <f t="shared" si="140"/>
        <v>1.2808394980823114E-2</v>
      </c>
      <c r="J345" s="13"/>
      <c r="K345" s="11">
        <v>6835</v>
      </c>
      <c r="L345" s="12">
        <f t="shared" si="141"/>
        <v>7.3090503902081185E-3</v>
      </c>
      <c r="M345" s="13"/>
      <c r="N345" s="11">
        <v>8011</v>
      </c>
      <c r="O345" s="12">
        <f t="shared" si="142"/>
        <v>8.3172494416925615E-3</v>
      </c>
      <c r="P345" s="13"/>
    </row>
    <row r="346" spans="1:16">
      <c r="A346" s="4">
        <f t="shared" si="144"/>
        <v>0</v>
      </c>
      <c r="B346" t="s">
        <v>159</v>
      </c>
      <c r="C346" s="5">
        <v>151835</v>
      </c>
      <c r="D346" s="6">
        <f t="shared" si="137"/>
        <v>9.5743788650481422E-3</v>
      </c>
      <c r="E346" s="11">
        <f t="shared" si="145"/>
        <v>148570</v>
      </c>
      <c r="F346" s="12">
        <f t="shared" si="139"/>
        <v>1.2830234758666454E-2</v>
      </c>
      <c r="G346" s="13"/>
      <c r="H346" s="11">
        <v>1371</v>
      </c>
      <c r="I346" s="12">
        <f t="shared" si="140"/>
        <v>5.7593668477233485E-4</v>
      </c>
      <c r="J346" s="13"/>
      <c r="K346" s="11">
        <v>1350</v>
      </c>
      <c r="L346" s="12">
        <f t="shared" si="141"/>
        <v>1.4436310207433737E-3</v>
      </c>
      <c r="M346" s="13"/>
      <c r="N346" s="11">
        <v>544</v>
      </c>
      <c r="O346" s="12">
        <f t="shared" si="142"/>
        <v>5.6479636703042732E-4</v>
      </c>
      <c r="P346" s="13"/>
    </row>
    <row r="347" spans="1:16">
      <c r="A347" s="4">
        <f t="shared" si="144"/>
        <v>0</v>
      </c>
      <c r="B347" t="s">
        <v>160</v>
      </c>
      <c r="C347" s="5">
        <v>79970</v>
      </c>
      <c r="D347" s="6">
        <f t="shared" si="137"/>
        <v>5.0427311083603901E-3</v>
      </c>
      <c r="E347" s="11">
        <f t="shared" si="145"/>
        <v>41117</v>
      </c>
      <c r="F347" s="12">
        <f t="shared" si="139"/>
        <v>3.5507892749013165E-3</v>
      </c>
      <c r="G347" s="13"/>
      <c r="H347" s="11">
        <v>33948</v>
      </c>
      <c r="I347" s="12">
        <f t="shared" si="140"/>
        <v>1.4261049288585868E-2</v>
      </c>
      <c r="J347" s="13"/>
      <c r="K347" s="11">
        <v>2991</v>
      </c>
      <c r="L347" s="12">
        <f t="shared" si="141"/>
        <v>3.1984447281803189E-3</v>
      </c>
      <c r="M347" s="13"/>
      <c r="N347" s="11">
        <v>1914</v>
      </c>
      <c r="O347" s="12">
        <f t="shared" si="142"/>
        <v>1.9871695707651435E-3</v>
      </c>
      <c r="P347" s="13"/>
    </row>
    <row r="348" spans="1:16">
      <c r="A348" s="4">
        <f t="shared" si="144"/>
        <v>0</v>
      </c>
      <c r="B348" t="s">
        <v>161</v>
      </c>
      <c r="C348" s="5">
        <v>47250</v>
      </c>
      <c r="D348" s="6">
        <f t="shared" si="137"/>
        <v>2.9794803660126105E-3</v>
      </c>
      <c r="E348" s="11">
        <f t="shared" si="145"/>
        <v>10290</v>
      </c>
      <c r="F348" s="12">
        <f t="shared" si="139"/>
        <v>8.8862566915715025E-4</v>
      </c>
      <c r="G348" s="13"/>
      <c r="H348" s="11">
        <v>34489</v>
      </c>
      <c r="I348" s="12">
        <f t="shared" si="140"/>
        <v>1.4488315332686403E-2</v>
      </c>
      <c r="J348" s="13"/>
      <c r="K348" s="11">
        <v>1195</v>
      </c>
      <c r="L348" s="12">
        <f t="shared" si="141"/>
        <v>1.2778807924358011E-3</v>
      </c>
      <c r="M348" s="13"/>
      <c r="N348" s="11">
        <v>1276</v>
      </c>
      <c r="O348" s="12">
        <f t="shared" si="142"/>
        <v>1.3247797138434289E-3</v>
      </c>
      <c r="P348" s="13"/>
    </row>
    <row r="349" spans="1:16">
      <c r="A349" s="4">
        <f t="shared" si="144"/>
        <v>0</v>
      </c>
      <c r="B349" t="s">
        <v>58</v>
      </c>
      <c r="C349" s="5">
        <v>46052</v>
      </c>
      <c r="D349" s="6">
        <f t="shared" si="137"/>
        <v>2.9039371389547666E-3</v>
      </c>
      <c r="E349" s="14">
        <f t="shared" si="145"/>
        <v>5041</v>
      </c>
      <c r="F349" s="15">
        <f t="shared" si="139"/>
        <v>4.3533158388932888E-4</v>
      </c>
      <c r="G349" s="16"/>
      <c r="H349" s="14">
        <v>1504</v>
      </c>
      <c r="I349" s="15">
        <f t="shared" si="140"/>
        <v>6.3180800430167152E-4</v>
      </c>
      <c r="J349" s="16"/>
      <c r="K349" s="14">
        <v>38968</v>
      </c>
      <c r="L349" s="15">
        <f t="shared" si="141"/>
        <v>4.1670676752835395E-2</v>
      </c>
      <c r="M349" s="16"/>
      <c r="N349" s="14">
        <v>539</v>
      </c>
      <c r="O349" s="15">
        <f t="shared" si="142"/>
        <v>5.5960522395110356E-4</v>
      </c>
      <c r="P349" s="16"/>
    </row>
    <row r="350" spans="1:16">
      <c r="A350" s="2">
        <f>SUM(A332:A349)+2</f>
        <v>60</v>
      </c>
      <c r="C350" s="3">
        <v>15858470</v>
      </c>
      <c r="D350" s="22"/>
      <c r="E350" s="21">
        <f t="shared" si="145"/>
        <v>11579679</v>
      </c>
      <c r="G350" s="2">
        <f>SUM(G332:G349)</f>
        <v>42</v>
      </c>
      <c r="H350" s="3">
        <v>2380470</v>
      </c>
      <c r="J350" s="2">
        <f>SUM(J332:J349)</f>
        <v>9</v>
      </c>
      <c r="K350" s="3">
        <v>935142</v>
      </c>
      <c r="M350" s="2">
        <f>SUM(M332:M349)</f>
        <v>5</v>
      </c>
      <c r="N350" s="3">
        <v>963179</v>
      </c>
      <c r="P350" s="2">
        <f>SUM(P332:P349)</f>
        <v>4</v>
      </c>
    </row>
    <row r="351" spans="1:16">
      <c r="B351" t="s">
        <v>162</v>
      </c>
    </row>
    <row r="353" spans="1:16">
      <c r="A353" s="7" t="s">
        <v>163</v>
      </c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1:16">
      <c r="C354" t="s">
        <v>2</v>
      </c>
      <c r="E354" t="s">
        <v>5</v>
      </c>
      <c r="H354" t="s">
        <v>7</v>
      </c>
      <c r="K354" t="s">
        <v>8</v>
      </c>
      <c r="N354" t="s">
        <v>9</v>
      </c>
    </row>
    <row r="355" spans="1:16">
      <c r="A355" t="s">
        <v>6</v>
      </c>
      <c r="C355" t="s">
        <v>3</v>
      </c>
      <c r="D355" t="s">
        <v>4</v>
      </c>
      <c r="E355" s="18" t="s">
        <v>3</v>
      </c>
      <c r="F355" s="18" t="s">
        <v>4</v>
      </c>
      <c r="G355" t="s">
        <v>6</v>
      </c>
      <c r="H355" t="s">
        <v>3</v>
      </c>
      <c r="I355" s="18" t="s">
        <v>4</v>
      </c>
      <c r="J355" t="s">
        <v>6</v>
      </c>
      <c r="K355" t="s">
        <v>3</v>
      </c>
      <c r="L355" s="18" t="s">
        <v>4</v>
      </c>
      <c r="M355" t="s">
        <v>6</v>
      </c>
      <c r="N355" t="s">
        <v>3</v>
      </c>
      <c r="O355" s="18" t="s">
        <v>4</v>
      </c>
      <c r="P355" t="s">
        <v>6</v>
      </c>
    </row>
    <row r="356" spans="1:16">
      <c r="A356" s="4">
        <f>+G356+J356+M356+P356</f>
        <v>29</v>
      </c>
      <c r="B356" t="s">
        <v>153</v>
      </c>
      <c r="C356" s="5">
        <v>7453900</v>
      </c>
      <c r="D356" s="6">
        <f t="shared" ref="D356:D368" si="146">+C356/C$369</f>
        <v>0.40127771034994375</v>
      </c>
      <c r="E356" s="20">
        <f t="shared" ref="E356:E361" si="147">+C356-H356-K356-N356</f>
        <v>6187810</v>
      </c>
      <c r="F356" s="12">
        <f t="shared" ref="F356:F368" si="148">+E356/E$369</f>
        <v>0.44361687903648733</v>
      </c>
      <c r="G356" s="10">
        <v>22</v>
      </c>
      <c r="H356" s="23">
        <v>473716</v>
      </c>
      <c r="I356" s="12">
        <f t="shared" ref="I356:I368" si="149">+H356/H$369</f>
        <v>0.18501936642478653</v>
      </c>
      <c r="J356" s="10">
        <v>2</v>
      </c>
      <c r="K356" s="19">
        <v>634364</v>
      </c>
      <c r="L356" s="12">
        <f t="shared" ref="L356:L368" si="150">+K356/K$369</f>
        <v>0.54555055228948157</v>
      </c>
      <c r="M356" s="10">
        <v>4</v>
      </c>
      <c r="N356" s="23">
        <v>158010</v>
      </c>
      <c r="O356" s="12">
        <f t="shared" ref="O356:O368" si="151">+N356/N$369</f>
        <v>0.17484494558572117</v>
      </c>
      <c r="P356" s="10">
        <v>1</v>
      </c>
    </row>
    <row r="357" spans="1:16">
      <c r="A357" s="4">
        <f t="shared" ref="A357:A366" si="152">+G357+J357+M357+P357</f>
        <v>21</v>
      </c>
      <c r="B357" t="s">
        <v>11</v>
      </c>
      <c r="C357" s="5">
        <v>5719707</v>
      </c>
      <c r="D357" s="6">
        <f t="shared" si="146"/>
        <v>0.30791812726660484</v>
      </c>
      <c r="E357" s="11">
        <f t="shared" si="147"/>
        <v>4544929</v>
      </c>
      <c r="F357" s="12">
        <f t="shared" si="148"/>
        <v>0.32583534698421951</v>
      </c>
      <c r="G357" s="13">
        <v>16</v>
      </c>
      <c r="H357" s="11">
        <v>721374</v>
      </c>
      <c r="I357" s="12">
        <f t="shared" si="149"/>
        <v>0.28174720810636322</v>
      </c>
      <c r="J357" s="13">
        <v>3</v>
      </c>
      <c r="K357" s="24">
        <v>288341</v>
      </c>
      <c r="L357" s="12">
        <f t="shared" si="150"/>
        <v>0.24797212924709064</v>
      </c>
      <c r="M357" s="13">
        <v>1</v>
      </c>
      <c r="N357" s="11">
        <v>165063</v>
      </c>
      <c r="O357" s="12">
        <f t="shared" si="151"/>
        <v>0.18264939721040371</v>
      </c>
      <c r="P357" s="13">
        <v>1</v>
      </c>
    </row>
    <row r="358" spans="1:16">
      <c r="A358" s="4">
        <f t="shared" si="152"/>
        <v>8</v>
      </c>
      <c r="B358" t="s">
        <v>62</v>
      </c>
      <c r="C358" s="5">
        <v>2497671</v>
      </c>
      <c r="D358" s="6">
        <f t="shared" si="146"/>
        <v>0.13446111432772834</v>
      </c>
      <c r="E358" s="11">
        <f t="shared" si="147"/>
        <v>2068469</v>
      </c>
      <c r="F358" s="12">
        <f t="shared" si="148"/>
        <v>0.14829281477028608</v>
      </c>
      <c r="G358" s="13">
        <v>7</v>
      </c>
      <c r="H358" s="11">
        <v>283779</v>
      </c>
      <c r="I358" s="12">
        <f t="shared" si="149"/>
        <v>0.11083562890985209</v>
      </c>
      <c r="J358" s="13">
        <v>1</v>
      </c>
      <c r="K358" s="11">
        <v>58988</v>
      </c>
      <c r="L358" s="12">
        <f t="shared" si="150"/>
        <v>5.0729448673714046E-2</v>
      </c>
      <c r="M358" s="13"/>
      <c r="N358" s="11">
        <v>86435</v>
      </c>
      <c r="O358" s="12">
        <f t="shared" si="151"/>
        <v>9.5644091334104231E-2</v>
      </c>
      <c r="P358" s="13"/>
    </row>
    <row r="359" spans="1:16">
      <c r="A359" s="4">
        <f t="shared" si="152"/>
        <v>4</v>
      </c>
      <c r="B359" t="s">
        <v>164</v>
      </c>
      <c r="C359" s="5">
        <v>865913</v>
      </c>
      <c r="D359" s="6">
        <f t="shared" si="146"/>
        <v>4.661607829488601E-2</v>
      </c>
      <c r="E359" s="11">
        <f t="shared" si="147"/>
        <v>58618</v>
      </c>
      <c r="F359" s="12">
        <f t="shared" si="148"/>
        <v>4.2024454880419428E-3</v>
      </c>
      <c r="G359" s="13"/>
      <c r="H359" s="20">
        <v>806610</v>
      </c>
      <c r="I359" s="12">
        <f t="shared" si="149"/>
        <v>0.31503785211370749</v>
      </c>
      <c r="J359" s="13">
        <v>4</v>
      </c>
      <c r="K359" s="11">
        <v>420</v>
      </c>
      <c r="L359" s="12">
        <f t="shared" si="150"/>
        <v>3.6119835293551059E-4</v>
      </c>
      <c r="M359" s="13"/>
      <c r="N359" s="11">
        <v>265</v>
      </c>
      <c r="O359" s="12">
        <f t="shared" si="151"/>
        <v>2.9323403949253914E-4</v>
      </c>
      <c r="P359" s="13"/>
    </row>
    <row r="360" spans="1:16">
      <c r="A360" s="4" t="s">
        <v>148</v>
      </c>
      <c r="B360" t="s">
        <v>165</v>
      </c>
      <c r="C360" s="5">
        <v>518532</v>
      </c>
      <c r="D360" s="6">
        <f t="shared" si="146"/>
        <v>2.7914961792239904E-2</v>
      </c>
      <c r="E360" s="11">
        <f t="shared" si="147"/>
        <v>279165</v>
      </c>
      <c r="F360" s="12">
        <f t="shared" si="148"/>
        <v>2.0013915429888923E-2</v>
      </c>
      <c r="G360" s="13"/>
      <c r="H360" s="11">
        <v>1357</v>
      </c>
      <c r="I360" s="12">
        <f t="shared" si="149"/>
        <v>5.3000380024832456E-4</v>
      </c>
      <c r="J360" s="13"/>
      <c r="K360" s="11">
        <v>4384</v>
      </c>
      <c r="L360" s="12">
        <f t="shared" si="150"/>
        <v>3.7702228077839965E-3</v>
      </c>
      <c r="M360" s="13"/>
      <c r="N360" s="20">
        <v>233626</v>
      </c>
      <c r="O360" s="12">
        <f t="shared" si="151"/>
        <v>0.25851734230371298</v>
      </c>
      <c r="P360" s="13">
        <v>1</v>
      </c>
    </row>
    <row r="361" spans="1:16">
      <c r="A361" s="4">
        <f t="shared" si="152"/>
        <v>0</v>
      </c>
      <c r="B361" t="s">
        <v>166</v>
      </c>
      <c r="C361" s="5">
        <v>239339</v>
      </c>
      <c r="D361" s="6">
        <f t="shared" si="146"/>
        <v>1.2884718860924507E-2</v>
      </c>
      <c r="E361" s="11">
        <f t="shared" si="147"/>
        <v>19270</v>
      </c>
      <c r="F361" s="12">
        <f t="shared" si="148"/>
        <v>1.3815060997401521E-3</v>
      </c>
      <c r="G361" s="13"/>
      <c r="H361" s="11">
        <v>141285</v>
      </c>
      <c r="I361" s="12">
        <f t="shared" si="149"/>
        <v>5.5181714751720366E-2</v>
      </c>
      <c r="J361" s="13"/>
      <c r="K361" s="11">
        <v>366</v>
      </c>
      <c r="L361" s="12">
        <f t="shared" si="150"/>
        <v>3.1475856470094497E-4</v>
      </c>
      <c r="M361" s="13"/>
      <c r="N361" s="24">
        <v>78418</v>
      </c>
      <c r="O361" s="12">
        <f t="shared" si="151"/>
        <v>8.6772931731795969E-2</v>
      </c>
      <c r="P361" s="13"/>
    </row>
    <row r="362" spans="1:16">
      <c r="A362" s="4">
        <f t="shared" si="152"/>
        <v>0</v>
      </c>
      <c r="B362" t="s">
        <v>167</v>
      </c>
      <c r="C362" s="5">
        <v>183418</v>
      </c>
      <c r="D362" s="6">
        <f t="shared" si="146"/>
        <v>9.8742343037827151E-3</v>
      </c>
      <c r="E362" s="11">
        <f>+C362-H362-K362-N362</f>
        <v>155390</v>
      </c>
      <c r="F362" s="12">
        <f t="shared" si="148"/>
        <v>1.1140230038330163E-2</v>
      </c>
      <c r="G362" s="13"/>
      <c r="H362" s="11">
        <v>17286</v>
      </c>
      <c r="I362" s="12">
        <f t="shared" si="149"/>
        <v>6.7513969720652458E-3</v>
      </c>
      <c r="J362" s="13"/>
      <c r="K362" s="11">
        <v>6841</v>
      </c>
      <c r="L362" s="12">
        <f t="shared" si="150"/>
        <v>5.8832331724567337E-3</v>
      </c>
      <c r="M362" s="13"/>
      <c r="N362" s="20">
        <v>3901</v>
      </c>
      <c r="O362" s="12">
        <f t="shared" si="151"/>
        <v>4.3166263700392272E-3</v>
      </c>
      <c r="P362" s="13"/>
    </row>
    <row r="363" spans="1:16">
      <c r="A363" s="4">
        <f t="shared" ref="A363:A365" si="153">+G363+J363+M363+P363</f>
        <v>1</v>
      </c>
      <c r="B363" t="s">
        <v>27</v>
      </c>
      <c r="C363" s="5">
        <v>180324</v>
      </c>
      <c r="D363" s="6">
        <f t="shared" si="146"/>
        <v>9.7076700574388244E-3</v>
      </c>
      <c r="E363" s="11">
        <f>+C363-H363-K363-N363</f>
        <v>33849</v>
      </c>
      <c r="F363" s="12">
        <f t="shared" si="148"/>
        <v>2.4267047208149668E-3</v>
      </c>
      <c r="G363" s="13"/>
      <c r="H363" s="11">
        <v>4481</v>
      </c>
      <c r="I363" s="12">
        <f t="shared" si="149"/>
        <v>1.7501451944824924E-3</v>
      </c>
      <c r="J363" s="13"/>
      <c r="K363" s="11">
        <v>1135</v>
      </c>
      <c r="L363" s="12">
        <f t="shared" si="150"/>
        <v>9.7609554900429652E-4</v>
      </c>
      <c r="M363" s="13"/>
      <c r="N363" s="11">
        <v>140859</v>
      </c>
      <c r="O363" s="12">
        <f t="shared" si="151"/>
        <v>0.15586661724105497</v>
      </c>
      <c r="P363" s="13">
        <v>1</v>
      </c>
    </row>
    <row r="364" spans="1:16">
      <c r="A364" s="4">
        <f t="shared" si="153"/>
        <v>0</v>
      </c>
      <c r="B364" t="s">
        <v>168</v>
      </c>
      <c r="C364" s="5">
        <v>140445</v>
      </c>
      <c r="D364" s="6">
        <f t="shared" si="146"/>
        <v>7.5608001220968685E-3</v>
      </c>
      <c r="E364" s="11">
        <f>+C364-H364-K364-N364</f>
        <v>138673</v>
      </c>
      <c r="F364" s="12">
        <f t="shared" si="148"/>
        <v>9.9417537814876032E-3</v>
      </c>
      <c r="G364" s="13"/>
      <c r="H364" s="11">
        <v>1247</v>
      </c>
      <c r="I364" s="12">
        <f t="shared" si="149"/>
        <v>4.8704107509923414E-4</v>
      </c>
      <c r="J364" s="13"/>
      <c r="K364" s="11">
        <v>347</v>
      </c>
      <c r="L364" s="12">
        <f t="shared" si="150"/>
        <v>2.984186392110052E-4</v>
      </c>
      <c r="M364" s="13"/>
      <c r="N364" s="11">
        <v>178</v>
      </c>
      <c r="O364" s="12">
        <f t="shared" si="151"/>
        <v>1.969647510553659E-4</v>
      </c>
      <c r="P364" s="13"/>
    </row>
    <row r="365" spans="1:16">
      <c r="A365" s="4">
        <f t="shared" si="153"/>
        <v>0</v>
      </c>
      <c r="B365" t="s">
        <v>58</v>
      </c>
      <c r="C365" s="5">
        <v>139221</v>
      </c>
      <c r="D365" s="6">
        <f t="shared" si="146"/>
        <v>7.4949065740926918E-3</v>
      </c>
      <c r="E365" s="11">
        <f>+C365-H365-K365-N365</f>
        <v>4232</v>
      </c>
      <c r="F365" s="12">
        <f t="shared" si="148"/>
        <v>3.0340082065907233E-4</v>
      </c>
      <c r="G365" s="13"/>
      <c r="H365" s="11">
        <v>1721</v>
      </c>
      <c r="I365" s="12">
        <f t="shared" si="149"/>
        <v>6.7217136346895106E-4</v>
      </c>
      <c r="J365" s="13"/>
      <c r="K365" s="11">
        <v>132507</v>
      </c>
      <c r="L365" s="12">
        <f t="shared" si="150"/>
        <v>0.11395550036291835</v>
      </c>
      <c r="M365" s="13"/>
      <c r="N365" s="11">
        <v>761</v>
      </c>
      <c r="O365" s="12">
        <f t="shared" si="151"/>
        <v>8.4207963793895202E-4</v>
      </c>
      <c r="P365" s="13"/>
    </row>
    <row r="366" spans="1:16">
      <c r="A366" s="4">
        <f t="shared" si="152"/>
        <v>0</v>
      </c>
      <c r="B366" t="s">
        <v>169</v>
      </c>
      <c r="C366" s="5">
        <v>109567</v>
      </c>
      <c r="D366" s="6">
        <f t="shared" si="146"/>
        <v>5.8984954037366059E-3</v>
      </c>
      <c r="E366" s="11">
        <f>+C366-H366-K366-N366</f>
        <v>84120</v>
      </c>
      <c r="F366" s="12">
        <f t="shared" si="148"/>
        <v>6.0307365391874205E-3</v>
      </c>
      <c r="G366" s="13"/>
      <c r="H366" s="11">
        <v>14665</v>
      </c>
      <c r="I366" s="12">
        <f t="shared" si="149"/>
        <v>5.7277124028310093E-3</v>
      </c>
      <c r="J366" s="13"/>
      <c r="K366" s="11">
        <v>3649</v>
      </c>
      <c r="L366" s="12">
        <f t="shared" si="150"/>
        <v>3.1381256901468527E-3</v>
      </c>
      <c r="M366" s="13"/>
      <c r="N366" s="11">
        <v>7133</v>
      </c>
      <c r="O366" s="12">
        <f t="shared" si="151"/>
        <v>7.8929751083029499E-3</v>
      </c>
      <c r="P366" s="13"/>
    </row>
    <row r="367" spans="1:16">
      <c r="A367" s="4">
        <f t="shared" ref="A367:A368" si="154">+G367+J367+M367+P367</f>
        <v>0</v>
      </c>
      <c r="B367" t="s">
        <v>154</v>
      </c>
      <c r="C367" s="5">
        <v>82410</v>
      </c>
      <c r="D367" s="6">
        <f t="shared" si="146"/>
        <v>4.4365092246929612E-3</v>
      </c>
      <c r="E367" s="11">
        <f t="shared" ref="E367:E369" si="155">+C367-H367-K367-N367</f>
        <v>64580</v>
      </c>
      <c r="F367" s="12">
        <f t="shared" si="148"/>
        <v>4.6298735817965246E-3</v>
      </c>
      <c r="G367" s="13"/>
      <c r="H367" s="11">
        <v>10421</v>
      </c>
      <c r="I367" s="12">
        <f t="shared" si="149"/>
        <v>4.0701323525333755E-3</v>
      </c>
      <c r="J367" s="13"/>
      <c r="K367" s="11">
        <v>5051</v>
      </c>
      <c r="L367" s="12">
        <f t="shared" si="150"/>
        <v>4.3438401920887241E-3</v>
      </c>
      <c r="M367" s="13"/>
      <c r="N367" s="11">
        <v>2358</v>
      </c>
      <c r="O367" s="12">
        <f t="shared" si="151"/>
        <v>2.6092296797109709E-3</v>
      </c>
      <c r="P367" s="13"/>
    </row>
    <row r="368" spans="1:16">
      <c r="A368" s="4">
        <f t="shared" si="154"/>
        <v>0</v>
      </c>
      <c r="B368" t="s">
        <v>170</v>
      </c>
      <c r="C368" s="5">
        <v>42237</v>
      </c>
      <c r="D368" s="6">
        <f t="shared" si="146"/>
        <v>2.2738119175264725E-3</v>
      </c>
      <c r="E368" s="14">
        <f t="shared" si="155"/>
        <v>14505</v>
      </c>
      <c r="F368" s="15">
        <f t="shared" si="148"/>
        <v>1.0398934082372032E-3</v>
      </c>
      <c r="G368" s="16"/>
      <c r="H368" s="14">
        <v>25420</v>
      </c>
      <c r="I368" s="15">
        <f t="shared" si="149"/>
        <v>9.928295211726168E-3</v>
      </c>
      <c r="J368" s="16"/>
      <c r="K368" s="14">
        <v>816</v>
      </c>
      <c r="L368" s="15">
        <f t="shared" si="150"/>
        <v>7.0175679998899204E-4</v>
      </c>
      <c r="M368" s="16"/>
      <c r="N368" s="14">
        <v>1496</v>
      </c>
      <c r="O368" s="15">
        <f t="shared" si="151"/>
        <v>1.6553891437012776E-3</v>
      </c>
      <c r="P368" s="16"/>
    </row>
    <row r="369" spans="1:16">
      <c r="A369" s="2">
        <f>SUM(A356:A368)+1</f>
        <v>64</v>
      </c>
      <c r="C369" s="3">
        <v>18575415</v>
      </c>
      <c r="D369" s="22"/>
      <c r="E369" s="21">
        <f t="shared" si="155"/>
        <v>13948545</v>
      </c>
      <c r="G369" s="2">
        <f>SUM(G356:G368)</f>
        <v>45</v>
      </c>
      <c r="H369" s="3">
        <v>2560359</v>
      </c>
      <c r="J369" s="2">
        <f>SUM(J356:J368)</f>
        <v>10</v>
      </c>
      <c r="K369" s="3">
        <v>1162796</v>
      </c>
      <c r="M369" s="2">
        <f>SUM(M356:M368)</f>
        <v>5</v>
      </c>
      <c r="N369" s="3">
        <v>903715</v>
      </c>
      <c r="P369" s="2">
        <f>SUM(P356:P368)</f>
        <v>4</v>
      </c>
    </row>
    <row r="370" spans="1:16">
      <c r="B370" t="s">
        <v>172</v>
      </c>
    </row>
    <row r="372" spans="1:16">
      <c r="A372" s="7" t="s">
        <v>173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>
      <c r="C373" t="s">
        <v>2</v>
      </c>
      <c r="E373" t="s">
        <v>5</v>
      </c>
      <c r="H373" t="s">
        <v>7</v>
      </c>
      <c r="K373" t="s">
        <v>8</v>
      </c>
      <c r="N373" t="s">
        <v>9</v>
      </c>
    </row>
    <row r="374" spans="1:16">
      <c r="A374" t="s">
        <v>6</v>
      </c>
      <c r="C374" t="s">
        <v>3</v>
      </c>
      <c r="D374" t="s">
        <v>4</v>
      </c>
      <c r="E374" s="18" t="s">
        <v>3</v>
      </c>
      <c r="F374" s="18" t="s">
        <v>4</v>
      </c>
      <c r="G374" t="s">
        <v>6</v>
      </c>
      <c r="H374" t="s">
        <v>3</v>
      </c>
      <c r="I374" s="18" t="s">
        <v>4</v>
      </c>
      <c r="J374" t="s">
        <v>6</v>
      </c>
      <c r="K374" t="s">
        <v>3</v>
      </c>
      <c r="L374" s="18" t="s">
        <v>4</v>
      </c>
      <c r="M374" t="s">
        <v>6</v>
      </c>
      <c r="N374" t="s">
        <v>3</v>
      </c>
      <c r="O374" s="18" t="s">
        <v>4</v>
      </c>
      <c r="P374" t="s">
        <v>6</v>
      </c>
    </row>
    <row r="375" spans="1:16">
      <c r="A375" s="4">
        <f>+G375+J375+M375+P375</f>
        <v>28</v>
      </c>
      <c r="B375" t="s">
        <v>153</v>
      </c>
      <c r="C375" s="5">
        <v>8410993</v>
      </c>
      <c r="D375" s="6">
        <f t="shared" ref="D375:D385" si="156">+C375/C$386</f>
        <v>0.39737730758720574</v>
      </c>
      <c r="E375" s="20">
        <f t="shared" ref="E375:E380" si="157">+C375-H375-K375-N375</f>
        <v>6934971</v>
      </c>
      <c r="F375" s="12">
        <f t="shared" ref="F375:F385" si="158">+E375/E$386</f>
        <v>0.44444389614158281</v>
      </c>
      <c r="G375" s="10">
        <v>22</v>
      </c>
      <c r="H375" s="23">
        <v>486471</v>
      </c>
      <c r="I375" s="12">
        <f t="shared" ref="I375:I385" si="159">+H375/H$386</f>
        <v>0.16892157717224743</v>
      </c>
      <c r="J375" s="10">
        <v>2</v>
      </c>
      <c r="K375" s="19">
        <v>760863</v>
      </c>
      <c r="L375" s="12">
        <f t="shared" ref="L375:L385" si="160">+K375/K$386</f>
        <v>0.49889318878343875</v>
      </c>
      <c r="M375" s="10">
        <v>3</v>
      </c>
      <c r="N375" s="23">
        <v>228688</v>
      </c>
      <c r="O375" s="12">
        <f t="shared" ref="O375:O385" si="161">+N375/N$386</f>
        <v>0.19755441238084132</v>
      </c>
      <c r="P375" s="10">
        <v>1</v>
      </c>
    </row>
    <row r="376" spans="1:16">
      <c r="A376" s="4">
        <f t="shared" ref="A376:A379" si="162">+G376+J376+M376+P376</f>
        <v>24</v>
      </c>
      <c r="B376" t="s">
        <v>93</v>
      </c>
      <c r="C376" s="5">
        <v>7477823</v>
      </c>
      <c r="D376" s="6">
        <f t="shared" si="156"/>
        <v>0.35328969722762599</v>
      </c>
      <c r="E376" s="11">
        <f t="shared" si="157"/>
        <v>5894090</v>
      </c>
      <c r="F376" s="12">
        <f t="shared" si="158"/>
        <v>0.37773659382413305</v>
      </c>
      <c r="G376" s="13">
        <v>18</v>
      </c>
      <c r="H376" s="20">
        <v>997311</v>
      </c>
      <c r="I376" s="12">
        <f t="shared" si="159"/>
        <v>0.34630501520384827</v>
      </c>
      <c r="J376" s="13">
        <v>4</v>
      </c>
      <c r="K376" s="24">
        <v>360235</v>
      </c>
      <c r="L376" s="12">
        <f t="shared" si="160"/>
        <v>0.23620387357698042</v>
      </c>
      <c r="M376" s="13">
        <v>1</v>
      </c>
      <c r="N376" s="11">
        <v>226187</v>
      </c>
      <c r="O376" s="12">
        <f t="shared" si="161"/>
        <v>0.19539389855692191</v>
      </c>
      <c r="P376" s="13">
        <v>1</v>
      </c>
    </row>
    <row r="377" spans="1:16">
      <c r="A377" s="4">
        <f t="shared" si="162"/>
        <v>3</v>
      </c>
      <c r="B377" t="s">
        <v>94</v>
      </c>
      <c r="C377" s="5">
        <v>1221566</v>
      </c>
      <c r="D377" s="6">
        <f t="shared" si="156"/>
        <v>5.7712877435526645E-2</v>
      </c>
      <c r="E377" s="11">
        <f t="shared" si="157"/>
        <v>1099639</v>
      </c>
      <c r="F377" s="12">
        <f t="shared" si="158"/>
        <v>7.047294667983961E-2</v>
      </c>
      <c r="G377" s="13">
        <v>3</v>
      </c>
      <c r="H377" s="11">
        <v>58977</v>
      </c>
      <c r="I377" s="12">
        <f t="shared" si="159"/>
        <v>2.0479099179370686E-2</v>
      </c>
      <c r="J377" s="13"/>
      <c r="K377" s="11">
        <v>17333</v>
      </c>
      <c r="L377" s="12">
        <f t="shared" si="160"/>
        <v>1.1365141479061728E-2</v>
      </c>
      <c r="M377" s="13"/>
      <c r="N377" s="11">
        <v>45617</v>
      </c>
      <c r="O377" s="12">
        <f t="shared" si="161"/>
        <v>3.9406700961908091E-2</v>
      </c>
      <c r="P377" s="13"/>
    </row>
    <row r="378" spans="1:16">
      <c r="A378" s="4">
        <f t="shared" si="162"/>
        <v>4</v>
      </c>
      <c r="B378" t="s">
        <v>174</v>
      </c>
      <c r="C378" s="5">
        <v>937687</v>
      </c>
      <c r="D378" s="6">
        <f t="shared" si="156"/>
        <v>4.4301015994131041E-2</v>
      </c>
      <c r="E378" s="11">
        <f t="shared" si="157"/>
        <v>93751</v>
      </c>
      <c r="F378" s="12">
        <f t="shared" si="158"/>
        <v>6.0082529122572432E-3</v>
      </c>
      <c r="G378" s="13"/>
      <c r="H378" s="24">
        <v>843021</v>
      </c>
      <c r="I378" s="12">
        <f t="shared" si="159"/>
        <v>0.29272954998206513</v>
      </c>
      <c r="J378" s="13">
        <v>4</v>
      </c>
      <c r="K378" s="11">
        <v>590</v>
      </c>
      <c r="L378" s="12">
        <f t="shared" si="160"/>
        <v>3.8685937071749954E-4</v>
      </c>
      <c r="M378" s="13"/>
      <c r="N378" s="11">
        <v>325</v>
      </c>
      <c r="O378" s="12">
        <f t="shared" si="161"/>
        <v>2.8075449531139994E-4</v>
      </c>
      <c r="P378" s="13"/>
    </row>
    <row r="379" spans="1:16">
      <c r="A379" s="4">
        <f t="shared" si="162"/>
        <v>2</v>
      </c>
      <c r="B379" t="s">
        <v>175</v>
      </c>
      <c r="C379" s="5">
        <v>677094</v>
      </c>
      <c r="D379" s="6">
        <f t="shared" si="156"/>
        <v>3.1989301465766465E-2</v>
      </c>
      <c r="E379" s="11">
        <f t="shared" si="157"/>
        <v>675219</v>
      </c>
      <c r="F379" s="12">
        <f t="shared" si="158"/>
        <v>4.3272994668445391E-2</v>
      </c>
      <c r="G379" s="13">
        <v>2</v>
      </c>
      <c r="H379" s="11">
        <v>1167</v>
      </c>
      <c r="I379" s="12">
        <f t="shared" si="159"/>
        <v>4.0522760978560436E-4</v>
      </c>
      <c r="J379" s="13"/>
      <c r="K379" s="11">
        <v>496</v>
      </c>
      <c r="L379" s="12">
        <f t="shared" si="160"/>
        <v>3.2522414894216913E-4</v>
      </c>
      <c r="M379" s="13"/>
      <c r="N379" s="24">
        <v>212</v>
      </c>
      <c r="O379" s="12">
        <f t="shared" si="161"/>
        <v>1.8313831694159011E-4</v>
      </c>
      <c r="P379" s="13"/>
    </row>
    <row r="380" spans="1:16">
      <c r="A380" s="4">
        <f t="shared" ref="A380:A385" si="163">+G380+J380+M380+P380</f>
        <v>1</v>
      </c>
      <c r="B380" t="s">
        <v>176</v>
      </c>
      <c r="C380" s="5">
        <v>613968</v>
      </c>
      <c r="D380" s="6">
        <f t="shared" si="156"/>
        <v>2.9006914021293507E-2</v>
      </c>
      <c r="E380" s="11">
        <f t="shared" si="157"/>
        <v>46266</v>
      </c>
      <c r="F380" s="12">
        <f t="shared" si="158"/>
        <v>2.9650652178482748E-3</v>
      </c>
      <c r="G380" s="13"/>
      <c r="H380" s="11">
        <v>174374</v>
      </c>
      <c r="I380" s="12">
        <f t="shared" si="159"/>
        <v>6.0549408079481559E-2</v>
      </c>
      <c r="J380" s="13"/>
      <c r="K380" s="11">
        <v>528</v>
      </c>
      <c r="L380" s="12">
        <f t="shared" si="160"/>
        <v>3.4620635209972839E-4</v>
      </c>
      <c r="M380" s="13"/>
      <c r="N380" s="20">
        <v>392800</v>
      </c>
      <c r="O380" s="12">
        <f t="shared" si="161"/>
        <v>0.33932420233328581</v>
      </c>
      <c r="P380" s="13">
        <v>1</v>
      </c>
    </row>
    <row r="381" spans="1:16">
      <c r="A381" s="4">
        <f t="shared" si="163"/>
        <v>1</v>
      </c>
      <c r="B381" t="s">
        <v>58</v>
      </c>
      <c r="C381" s="5">
        <v>349079</v>
      </c>
      <c r="D381" s="6">
        <f t="shared" si="156"/>
        <v>1.6492235001887911E-2</v>
      </c>
      <c r="E381" s="11">
        <f>+C381-H381-K381-N381</f>
        <v>9509</v>
      </c>
      <c r="F381" s="12">
        <f t="shared" si="158"/>
        <v>6.0940658705138217E-4</v>
      </c>
      <c r="G381" s="13"/>
      <c r="H381" s="11">
        <v>3530</v>
      </c>
      <c r="I381" s="12">
        <f t="shared" si="159"/>
        <v>1.2257527528219225E-3</v>
      </c>
      <c r="J381" s="13"/>
      <c r="K381" s="11">
        <v>335193</v>
      </c>
      <c r="L381" s="12">
        <f t="shared" si="160"/>
        <v>0.21978398821849293</v>
      </c>
      <c r="M381" s="13">
        <v>1</v>
      </c>
      <c r="N381" s="24">
        <v>847</v>
      </c>
      <c r="O381" s="12">
        <f t="shared" si="161"/>
        <v>7.3168940778078689E-4</v>
      </c>
      <c r="P381" s="13"/>
    </row>
    <row r="382" spans="1:16">
      <c r="A382" s="4">
        <f t="shared" si="163"/>
        <v>1</v>
      </c>
      <c r="B382" t="s">
        <v>177</v>
      </c>
      <c r="C382" s="5">
        <v>306923</v>
      </c>
      <c r="D382" s="6">
        <f t="shared" si="156"/>
        <v>1.4500575066057949E-2</v>
      </c>
      <c r="E382" s="11">
        <f>+C382-H382-K382-N382</f>
        <v>61922</v>
      </c>
      <c r="F382" s="12">
        <f t="shared" si="158"/>
        <v>3.9684167297713412E-3</v>
      </c>
      <c r="G382" s="13"/>
      <c r="H382" s="11">
        <v>17607</v>
      </c>
      <c r="I382" s="12">
        <f t="shared" si="159"/>
        <v>6.1138324982820368E-3</v>
      </c>
      <c r="J382" s="13"/>
      <c r="K382" s="11">
        <v>1598</v>
      </c>
      <c r="L382" s="12">
        <f t="shared" si="160"/>
        <v>1.0477987701806174E-3</v>
      </c>
      <c r="M382" s="13"/>
      <c r="N382" s="11">
        <v>225796</v>
      </c>
      <c r="O382" s="12">
        <f t="shared" si="161"/>
        <v>0.19505612930256264</v>
      </c>
      <c r="P382" s="13">
        <v>1</v>
      </c>
    </row>
    <row r="383" spans="1:16">
      <c r="A383" s="4">
        <f t="shared" si="163"/>
        <v>0</v>
      </c>
      <c r="B383" t="s">
        <v>178</v>
      </c>
      <c r="C383" s="5">
        <v>300874</v>
      </c>
      <c r="D383" s="6">
        <f t="shared" si="156"/>
        <v>1.4214790101833748E-2</v>
      </c>
      <c r="E383" s="11">
        <f>+C383-H383-K383-N383</f>
        <v>136125</v>
      </c>
      <c r="F383" s="12">
        <f t="shared" si="158"/>
        <v>8.7238901737689972E-3</v>
      </c>
      <c r="G383" s="13"/>
      <c r="H383" s="11">
        <v>156471</v>
      </c>
      <c r="I383" s="12">
        <f t="shared" si="159"/>
        <v>5.4332792914107371E-2</v>
      </c>
      <c r="J383" s="13"/>
      <c r="K383" s="11">
        <v>3920</v>
      </c>
      <c r="L383" s="12">
        <f t="shared" si="160"/>
        <v>2.5703198868010139E-3</v>
      </c>
      <c r="M383" s="13"/>
      <c r="N383" s="11">
        <v>4358</v>
      </c>
      <c r="O383" s="12">
        <f t="shared" si="161"/>
        <v>3.7647018171294796E-3</v>
      </c>
      <c r="P383" s="13"/>
    </row>
    <row r="384" spans="1:16">
      <c r="A384" s="4">
        <f t="shared" si="163"/>
        <v>0</v>
      </c>
      <c r="B384" t="s">
        <v>179</v>
      </c>
      <c r="C384" s="5">
        <v>138835</v>
      </c>
      <c r="D384" s="6">
        <f t="shared" si="156"/>
        <v>6.559258639124977E-3</v>
      </c>
      <c r="E384" s="11">
        <f>+C384-H384-K384-N384</f>
        <v>94040</v>
      </c>
      <c r="F384" s="12">
        <f t="shared" si="158"/>
        <v>6.0267741556748319E-3</v>
      </c>
      <c r="G384" s="13"/>
      <c r="H384" s="11">
        <v>36540</v>
      </c>
      <c r="I384" s="12">
        <f t="shared" si="159"/>
        <v>1.268810356603769E-2</v>
      </c>
      <c r="J384" s="13"/>
      <c r="K384" s="11">
        <v>5574</v>
      </c>
      <c r="L384" s="12">
        <f t="shared" si="160"/>
        <v>3.6548375125073601E-3</v>
      </c>
      <c r="M384" s="13"/>
      <c r="N384" s="11">
        <v>2681</v>
      </c>
      <c r="O384" s="12">
        <f t="shared" si="161"/>
        <v>2.3160086213226561E-3</v>
      </c>
      <c r="P384" s="13"/>
    </row>
    <row r="385" spans="1:16">
      <c r="A385" s="4">
        <f t="shared" si="163"/>
        <v>0</v>
      </c>
      <c r="B385" t="s">
        <v>180</v>
      </c>
      <c r="C385" s="5">
        <v>17544</v>
      </c>
      <c r="D385" s="6">
        <f t="shared" si="156"/>
        <v>8.2886616173737603E-4</v>
      </c>
      <c r="E385" s="14">
        <f t="shared" ref="E385:E386" si="164">+C385-H385-K385-N385</f>
        <v>4900</v>
      </c>
      <c r="F385" s="15">
        <f t="shared" si="158"/>
        <v>3.1402800258195103E-4</v>
      </c>
      <c r="G385" s="16"/>
      <c r="H385" s="14">
        <v>11754</v>
      </c>
      <c r="I385" s="15">
        <f t="shared" si="159"/>
        <v>4.0814441520308428E-3</v>
      </c>
      <c r="J385" s="16"/>
      <c r="K385" s="14">
        <v>681</v>
      </c>
      <c r="L385" s="15">
        <f t="shared" si="160"/>
        <v>4.4652751094680879E-4</v>
      </c>
      <c r="M385" s="16"/>
      <c r="N385" s="14">
        <v>209</v>
      </c>
      <c r="O385" s="15">
        <f t="shared" si="161"/>
        <v>1.805467369848695E-4</v>
      </c>
      <c r="P385" s="16"/>
    </row>
    <row r="386" spans="1:16">
      <c r="A386" s="2">
        <f>SUM(A375:A385)</f>
        <v>64</v>
      </c>
      <c r="C386" s="3">
        <v>21166264</v>
      </c>
      <c r="D386" s="22"/>
      <c r="E386" s="21">
        <f t="shared" si="164"/>
        <v>15603704</v>
      </c>
      <c r="G386" s="2">
        <f>SUM(G375:G385)</f>
        <v>45</v>
      </c>
      <c r="H386" s="3">
        <v>2879863</v>
      </c>
      <c r="J386" s="2">
        <f>SUM(J375:J385)</f>
        <v>10</v>
      </c>
      <c r="K386" s="3">
        <v>1525102</v>
      </c>
      <c r="M386" s="2">
        <f>SUM(M375:M385)</f>
        <v>5</v>
      </c>
      <c r="N386" s="3">
        <v>1157595</v>
      </c>
      <c r="P386" s="2">
        <f>SUM(P375:P385)</f>
        <v>4</v>
      </c>
    </row>
    <row r="387" spans="1:16">
      <c r="B387" t="s">
        <v>171</v>
      </c>
    </row>
    <row r="389" spans="1:16">
      <c r="A389" s="7" t="s">
        <v>182</v>
      </c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1:16">
      <c r="C390" t="s">
        <v>2</v>
      </c>
      <c r="E390" t="s">
        <v>5</v>
      </c>
      <c r="H390" t="s">
        <v>7</v>
      </c>
      <c r="K390" t="s">
        <v>8</v>
      </c>
      <c r="N390" t="s">
        <v>9</v>
      </c>
    </row>
    <row r="391" spans="1:16">
      <c r="A391" t="s">
        <v>6</v>
      </c>
      <c r="C391" t="s">
        <v>3</v>
      </c>
      <c r="D391" t="s">
        <v>4</v>
      </c>
      <c r="E391" s="18" t="s">
        <v>3</v>
      </c>
      <c r="F391" s="18" t="s">
        <v>4</v>
      </c>
      <c r="G391" t="s">
        <v>6</v>
      </c>
      <c r="H391" t="s">
        <v>3</v>
      </c>
      <c r="I391" s="18" t="s">
        <v>4</v>
      </c>
      <c r="J391" t="s">
        <v>6</v>
      </c>
      <c r="K391" t="s">
        <v>3</v>
      </c>
      <c r="L391" s="18" t="s">
        <v>4</v>
      </c>
      <c r="M391" t="s">
        <v>6</v>
      </c>
      <c r="N391" t="s">
        <v>3</v>
      </c>
      <c r="O391" s="18" t="s">
        <v>4</v>
      </c>
      <c r="P391" t="s">
        <v>6</v>
      </c>
    </row>
    <row r="392" spans="1:16">
      <c r="A392" s="4">
        <f>+G392+J392+M392+P392</f>
        <v>25</v>
      </c>
      <c r="B392" t="s">
        <v>184</v>
      </c>
      <c r="C392" s="5">
        <v>6741112</v>
      </c>
      <c r="D392" s="6">
        <f>+C392/C$401</f>
        <v>0.43456610703699172</v>
      </c>
      <c r="E392" s="24">
        <f t="shared" ref="E392:E397" si="165">+C392-H392-K392-N392</f>
        <v>5218077</v>
      </c>
      <c r="F392" s="12">
        <f>+E392/E$401</f>
        <v>0.45223108788918231</v>
      </c>
      <c r="G392" s="10">
        <v>18</v>
      </c>
      <c r="H392" s="19">
        <v>907121</v>
      </c>
      <c r="I392" s="12">
        <f>+H392/H$401</f>
        <v>0.42850131461972391</v>
      </c>
      <c r="J392" s="10">
        <v>4</v>
      </c>
      <c r="K392" s="23">
        <v>416573</v>
      </c>
      <c r="L392" s="12">
        <f>+K392/K$401</f>
        <v>0.3620245838098648</v>
      </c>
      <c r="M392" s="10">
        <v>2</v>
      </c>
      <c r="N392" s="23">
        <v>199341</v>
      </c>
      <c r="O392" s="12">
        <f>+N392/N$401</f>
        <v>0.28230270844397237</v>
      </c>
      <c r="P392" s="10">
        <v>1</v>
      </c>
    </row>
    <row r="393" spans="1:16">
      <c r="A393" s="4">
        <f t="shared" ref="A393:A400" si="166">+G393+J393+M393+P393</f>
        <v>24</v>
      </c>
      <c r="B393" t="s">
        <v>153</v>
      </c>
      <c r="C393" s="5">
        <v>6393192</v>
      </c>
      <c r="D393" s="6">
        <f>+C393/C$401</f>
        <v>0.41213742762025601</v>
      </c>
      <c r="E393" s="20">
        <f t="shared" si="165"/>
        <v>5318398</v>
      </c>
      <c r="F393" s="12">
        <f>+E393/E$401</f>
        <v>0.460925531257521</v>
      </c>
      <c r="G393" s="13">
        <v>19</v>
      </c>
      <c r="H393" s="24">
        <v>377104</v>
      </c>
      <c r="I393" s="12">
        <f>+H393/H$401</f>
        <v>0.17813451540462227</v>
      </c>
      <c r="J393" s="13">
        <v>2</v>
      </c>
      <c r="K393" s="20">
        <v>549073</v>
      </c>
      <c r="L393" s="12">
        <f>+K393/K$401</f>
        <v>0.47717428711470472</v>
      </c>
      <c r="M393" s="13">
        <v>2</v>
      </c>
      <c r="N393" s="11">
        <v>148617</v>
      </c>
      <c r="O393" s="12">
        <f>+N393/N$401</f>
        <v>0.21046840148698884</v>
      </c>
      <c r="P393" s="13">
        <v>1</v>
      </c>
    </row>
    <row r="394" spans="1:16">
      <c r="A394" s="4" t="s">
        <v>197</v>
      </c>
      <c r="B394" t="s">
        <v>186</v>
      </c>
      <c r="C394" s="5"/>
      <c r="D394" s="6"/>
      <c r="E394" s="11"/>
      <c r="F394" s="12"/>
      <c r="G394" s="13"/>
      <c r="H394" s="11"/>
      <c r="I394" s="12"/>
      <c r="J394" s="13"/>
      <c r="K394" s="11"/>
      <c r="L394" s="12"/>
      <c r="M394" s="13"/>
      <c r="N394" s="11"/>
      <c r="O394" s="12"/>
      <c r="P394" s="13"/>
    </row>
    <row r="395" spans="1:16">
      <c r="A395" s="4"/>
      <c r="B395" t="s">
        <v>185</v>
      </c>
      <c r="C395" s="5">
        <v>798816</v>
      </c>
      <c r="D395" s="6">
        <f t="shared" ref="D395:D400" si="167">+C395/C$401</f>
        <v>5.1495711591627844E-2</v>
      </c>
      <c r="E395" s="11">
        <f t="shared" si="165"/>
        <v>38814</v>
      </c>
      <c r="F395" s="12">
        <f t="shared" ref="F395:F400" si="168">+E395/E$401</f>
        <v>3.3638632479610253E-3</v>
      </c>
      <c r="G395" s="13"/>
      <c r="H395" s="24">
        <v>369103</v>
      </c>
      <c r="I395" s="12">
        <f t="shared" ref="I395:I400" si="169">+H395/H$401</f>
        <v>0.17435504274521696</v>
      </c>
      <c r="J395" s="13">
        <v>2</v>
      </c>
      <c r="K395" s="11">
        <v>141756</v>
      </c>
      <c r="L395" s="12">
        <f t="shared" ref="L395:L400" si="170">+K395/K$401</f>
        <v>0.123193670503252</v>
      </c>
      <c r="M395" s="13"/>
      <c r="N395" s="20">
        <v>249143</v>
      </c>
      <c r="O395" s="12">
        <f t="shared" ref="O395:O400" si="171">+N395/N$401</f>
        <v>0.35283129757479198</v>
      </c>
      <c r="P395" s="13">
        <v>1</v>
      </c>
    </row>
    <row r="396" spans="1:16">
      <c r="A396" s="4">
        <f t="shared" si="166"/>
        <v>1</v>
      </c>
      <c r="B396" t="s">
        <v>181</v>
      </c>
      <c r="C396" s="5">
        <v>643136</v>
      </c>
      <c r="D396" s="6">
        <f t="shared" si="167"/>
        <v>4.1459792956316806E-2</v>
      </c>
      <c r="E396" s="11">
        <f t="shared" si="165"/>
        <v>444178</v>
      </c>
      <c r="F396" s="12">
        <f t="shared" si="168"/>
        <v>3.8495234960396564E-2</v>
      </c>
      <c r="G396" s="13">
        <v>1</v>
      </c>
      <c r="H396" s="11">
        <v>151871</v>
      </c>
      <c r="I396" s="12">
        <f t="shared" si="169"/>
        <v>7.1740069023440198E-2</v>
      </c>
      <c r="J396" s="13"/>
      <c r="K396" s="11">
        <v>17626</v>
      </c>
      <c r="L396" s="12">
        <f t="shared" si="170"/>
        <v>1.5317952229819689E-2</v>
      </c>
      <c r="M396" s="13"/>
      <c r="N396" s="24">
        <v>29461</v>
      </c>
      <c r="O396" s="12">
        <f t="shared" si="171"/>
        <v>4.1722074703487343E-2</v>
      </c>
      <c r="P396" s="13"/>
    </row>
    <row r="397" spans="1:16">
      <c r="A397" s="4" t="s">
        <v>198</v>
      </c>
      <c r="B397" t="s">
        <v>187</v>
      </c>
      <c r="C397" s="5">
        <v>380709</v>
      </c>
      <c r="D397" s="6">
        <f t="shared" si="167"/>
        <v>2.4542423867745571E-2</v>
      </c>
      <c r="E397" s="11">
        <f t="shared" si="165"/>
        <v>75276</v>
      </c>
      <c r="F397" s="12">
        <f t="shared" si="168"/>
        <v>6.5238875110401953E-3</v>
      </c>
      <c r="G397" s="13"/>
      <c r="H397" s="11">
        <v>249757</v>
      </c>
      <c r="I397" s="12">
        <f t="shared" si="169"/>
        <v>0.11797897175291762</v>
      </c>
      <c r="J397" s="13">
        <v>1</v>
      </c>
      <c r="K397" s="11">
        <v>851</v>
      </c>
      <c r="L397" s="12">
        <f t="shared" si="170"/>
        <v>7.3956526424467006E-4</v>
      </c>
      <c r="M397" s="13"/>
      <c r="N397" s="24">
        <v>54825</v>
      </c>
      <c r="O397" s="12">
        <f t="shared" si="171"/>
        <v>7.764206054168879E-2</v>
      </c>
      <c r="P397" s="13"/>
    </row>
    <row r="398" spans="1:16">
      <c r="A398" s="4">
        <f t="shared" si="166"/>
        <v>0</v>
      </c>
      <c r="B398" t="s">
        <v>188</v>
      </c>
      <c r="C398" s="5">
        <v>197231</v>
      </c>
      <c r="D398" s="6">
        <f t="shared" si="167"/>
        <v>1.2714505834795938E-2</v>
      </c>
      <c r="E398" s="11">
        <f>+C398-H398-K398-N398</f>
        <v>193160</v>
      </c>
      <c r="F398" s="12">
        <f t="shared" si="168"/>
        <v>1.6740449965892502E-2</v>
      </c>
      <c r="G398" s="13"/>
      <c r="H398" s="11">
        <v>2183</v>
      </c>
      <c r="I398" s="12">
        <f t="shared" si="169"/>
        <v>1.0311947025974013E-3</v>
      </c>
      <c r="J398" s="13"/>
      <c r="K398" s="11">
        <v>1545</v>
      </c>
      <c r="L398" s="12">
        <f t="shared" si="170"/>
        <v>1.3426889932526618E-3</v>
      </c>
      <c r="M398" s="13"/>
      <c r="N398" s="24">
        <v>343</v>
      </c>
      <c r="O398" s="12">
        <f t="shared" si="171"/>
        <v>4.8574969021065675E-4</v>
      </c>
      <c r="P398" s="13"/>
    </row>
    <row r="399" spans="1:16">
      <c r="A399" s="4">
        <f t="shared" si="166"/>
        <v>0</v>
      </c>
      <c r="B399" t="s">
        <v>189</v>
      </c>
      <c r="C399" s="5">
        <v>68536</v>
      </c>
      <c r="D399" s="6">
        <f t="shared" si="167"/>
        <v>4.4181765132944332E-3</v>
      </c>
      <c r="E399" s="11">
        <f>+C399-H399-K399-N399</f>
        <v>50582</v>
      </c>
      <c r="F399" s="12">
        <f t="shared" si="168"/>
        <v>4.383751502250852E-3</v>
      </c>
      <c r="G399" s="13"/>
      <c r="H399" s="11">
        <v>12793</v>
      </c>
      <c r="I399" s="12">
        <f t="shared" si="169"/>
        <v>6.0430938297428103E-3</v>
      </c>
      <c r="J399" s="13"/>
      <c r="K399" s="11">
        <v>2677</v>
      </c>
      <c r="L399" s="12">
        <f t="shared" si="170"/>
        <v>2.3264585339400493E-3</v>
      </c>
      <c r="M399" s="13"/>
      <c r="N399" s="11">
        <v>2484</v>
      </c>
      <c r="O399" s="12">
        <f t="shared" si="171"/>
        <v>3.5177907594264473E-3</v>
      </c>
      <c r="P399" s="13"/>
    </row>
    <row r="400" spans="1:16">
      <c r="A400" s="4">
        <f t="shared" si="166"/>
        <v>0</v>
      </c>
      <c r="B400" t="s">
        <v>120</v>
      </c>
      <c r="C400" s="5">
        <v>19993</v>
      </c>
      <c r="D400" s="6">
        <f t="shared" si="167"/>
        <v>1.2888496998700772E-3</v>
      </c>
      <c r="E400" s="14">
        <f t="shared" ref="E400:E401" si="172">+C400-H400-K400-N400</f>
        <v>10479</v>
      </c>
      <c r="F400" s="15">
        <f t="shared" si="168"/>
        <v>9.0817547728612317E-4</v>
      </c>
      <c r="G400" s="16"/>
      <c r="H400" s="14">
        <v>483</v>
      </c>
      <c r="I400" s="15">
        <f t="shared" si="169"/>
        <v>2.2815714216882493E-4</v>
      </c>
      <c r="J400" s="16"/>
      <c r="K400" s="14">
        <v>140</v>
      </c>
      <c r="L400" s="15">
        <f t="shared" si="170"/>
        <v>1.2166761103907616E-4</v>
      </c>
      <c r="M400" s="16"/>
      <c r="N400" s="14">
        <v>8891</v>
      </c>
      <c r="O400" s="15">
        <f t="shared" si="171"/>
        <v>1.2591255089396354E-2</v>
      </c>
      <c r="P400" s="16"/>
    </row>
    <row r="401" spans="1:16">
      <c r="A401" s="2">
        <f>SUM(A392:A400)+4</f>
        <v>54</v>
      </c>
      <c r="C401" s="3">
        <v>15512282</v>
      </c>
      <c r="D401" s="22"/>
      <c r="E401" s="21">
        <f t="shared" si="172"/>
        <v>11538519</v>
      </c>
      <c r="G401" s="2">
        <f>SUM(G392:G400)</f>
        <v>38</v>
      </c>
      <c r="H401" s="3">
        <v>2116962</v>
      </c>
      <c r="J401" s="2">
        <f>SUM(J392:J400)</f>
        <v>9</v>
      </c>
      <c r="K401" s="3">
        <v>1150676</v>
      </c>
      <c r="M401" s="2">
        <f>SUM(M392:M400)</f>
        <v>4</v>
      </c>
      <c r="N401" s="3">
        <v>706125</v>
      </c>
      <c r="P401" s="2">
        <f>SUM(P392:P400)</f>
        <v>3</v>
      </c>
    </row>
    <row r="402" spans="1:16">
      <c r="B402" t="s">
        <v>183</v>
      </c>
    </row>
    <row r="404" spans="1:16">
      <c r="A404" s="7" t="s">
        <v>190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</row>
    <row r="405" spans="1:16">
      <c r="C405" t="s">
        <v>2</v>
      </c>
      <c r="E405" t="s">
        <v>5</v>
      </c>
      <c r="H405" t="s">
        <v>7</v>
      </c>
      <c r="K405" t="s">
        <v>8</v>
      </c>
      <c r="N405" t="s">
        <v>9</v>
      </c>
    </row>
    <row r="406" spans="1:16">
      <c r="A406" t="s">
        <v>6</v>
      </c>
      <c r="C406" t="s">
        <v>3</v>
      </c>
      <c r="D406" t="s">
        <v>4</v>
      </c>
      <c r="E406" s="18" t="s">
        <v>3</v>
      </c>
      <c r="F406" s="18" t="s">
        <v>4</v>
      </c>
      <c r="G406" t="s">
        <v>6</v>
      </c>
      <c r="H406" t="s">
        <v>3</v>
      </c>
      <c r="I406" s="18" t="s">
        <v>4</v>
      </c>
      <c r="J406" t="s">
        <v>6</v>
      </c>
      <c r="K406" t="s">
        <v>3</v>
      </c>
      <c r="L406" s="18" t="s">
        <v>4</v>
      </c>
      <c r="M406" t="s">
        <v>6</v>
      </c>
      <c r="N406" t="s">
        <v>3</v>
      </c>
      <c r="O406" s="18" t="s">
        <v>4</v>
      </c>
      <c r="P406" t="s">
        <v>6</v>
      </c>
    </row>
    <row r="407" spans="1:16">
      <c r="A407" s="4">
        <f>+G407+J407+M407+P407</f>
        <v>23</v>
      </c>
      <c r="B407" t="s">
        <v>153</v>
      </c>
      <c r="C407" s="5">
        <v>6670232</v>
      </c>
      <c r="D407" s="6">
        <f>+C407/C$416</f>
        <v>0.4212130678608747</v>
      </c>
      <c r="E407" s="20">
        <f t="shared" ref="E407:E408" si="173">+C407-H407-K407-N407</f>
        <v>5626979</v>
      </c>
      <c r="F407" s="12">
        <f>+E407/E$416</f>
        <v>0.46915179922929418</v>
      </c>
      <c r="G407" s="10">
        <v>18</v>
      </c>
      <c r="H407" s="23">
        <v>354876</v>
      </c>
      <c r="I407" s="12">
        <f>+H407/H$416</f>
        <v>0.18022765373838967</v>
      </c>
      <c r="J407" s="10">
        <v>2</v>
      </c>
      <c r="K407" s="19">
        <v>571320</v>
      </c>
      <c r="L407" s="12">
        <f>+K407/K$416</f>
        <v>0.5001063553213112</v>
      </c>
      <c r="M407" s="10">
        <v>2</v>
      </c>
      <c r="N407" s="23">
        <v>117057</v>
      </c>
      <c r="O407" s="9">
        <f>+N407/N$416</f>
        <v>0.16026731070967953</v>
      </c>
      <c r="P407" s="10">
        <v>1</v>
      </c>
    </row>
    <row r="408" spans="1:16">
      <c r="A408" s="4">
        <f t="shared" ref="A408" si="174">+G408+J408+M408+P408</f>
        <v>21</v>
      </c>
      <c r="B408" t="s">
        <v>11</v>
      </c>
      <c r="C408" s="5">
        <v>6141784</v>
      </c>
      <c r="D408" s="6">
        <f>+C408/C$416</f>
        <v>0.38784253392967954</v>
      </c>
      <c r="E408" s="24">
        <f t="shared" si="173"/>
        <v>4826870</v>
      </c>
      <c r="F408" s="12">
        <f>+E408/E$416</f>
        <v>0.40244236652489784</v>
      </c>
      <c r="G408" s="13">
        <v>16</v>
      </c>
      <c r="H408" s="20">
        <v>708888</v>
      </c>
      <c r="I408" s="12">
        <f>+H408/H$416</f>
        <v>0.36001651563729181</v>
      </c>
      <c r="J408" s="13">
        <v>3</v>
      </c>
      <c r="K408" s="24">
        <v>403141</v>
      </c>
      <c r="L408" s="12">
        <f>+K408/K$416</f>
        <v>0.35289045752045917</v>
      </c>
      <c r="M408" s="13">
        <v>1</v>
      </c>
      <c r="N408" s="11">
        <v>202885</v>
      </c>
      <c r="O408" s="12">
        <f>+N408/N$416</f>
        <v>0.27777777777777779</v>
      </c>
      <c r="P408" s="13">
        <v>1</v>
      </c>
    </row>
    <row r="409" spans="1:16">
      <c r="A409" s="4" t="s">
        <v>197</v>
      </c>
      <c r="B409" t="s">
        <v>196</v>
      </c>
      <c r="C409" s="5"/>
      <c r="D409" s="6"/>
      <c r="E409" s="11"/>
      <c r="F409" s="12"/>
      <c r="G409" s="13"/>
      <c r="H409" s="11"/>
      <c r="I409" s="12"/>
      <c r="J409" s="13"/>
      <c r="K409" s="11"/>
      <c r="L409" s="12"/>
      <c r="M409" s="13"/>
      <c r="N409" s="11"/>
      <c r="O409" s="12"/>
      <c r="P409" s="13"/>
    </row>
    <row r="410" spans="1:16">
      <c r="A410" s="4"/>
      <c r="B410" t="s">
        <v>191</v>
      </c>
      <c r="C410" s="5">
        <v>808246</v>
      </c>
      <c r="D410" s="6">
        <f t="shared" ref="D410:D415" si="175">+C410/C$416</f>
        <v>5.1039270784926302E-2</v>
      </c>
      <c r="E410" s="11">
        <f t="shared" ref="E410:E412" si="176">+C410-H410-K410-N410</f>
        <v>157710</v>
      </c>
      <c r="F410" s="12">
        <f t="shared" ref="F410:F415" si="177">+E410/E$416</f>
        <v>1.3149139219544269E-2</v>
      </c>
      <c r="G410" s="13"/>
      <c r="H410" s="24">
        <v>441810</v>
      </c>
      <c r="I410" s="12">
        <f t="shared" ref="I410:I415" si="178">+H410/H$416</f>
        <v>0.22437803542126811</v>
      </c>
      <c r="J410" s="13">
        <v>2</v>
      </c>
      <c r="K410" s="11">
        <v>294</v>
      </c>
      <c r="L410" s="12">
        <f t="shared" ref="L410:L415" si="179">+K410/K$416</f>
        <v>2.5735361700004463E-4</v>
      </c>
      <c r="M410" s="13"/>
      <c r="N410" s="20">
        <v>208432</v>
      </c>
      <c r="O410" s="12">
        <f t="shared" ref="O410:O415" si="180">+N410/N$416</f>
        <v>0.2853723921323793</v>
      </c>
      <c r="P410" s="13">
        <v>1</v>
      </c>
    </row>
    <row r="411" spans="1:16">
      <c r="A411" s="4">
        <f t="shared" ref="A411:A415" si="181">+G411+J411+M411+P411</f>
        <v>1</v>
      </c>
      <c r="B411" t="s">
        <v>192</v>
      </c>
      <c r="C411" s="5">
        <v>588248</v>
      </c>
      <c r="D411" s="6">
        <f t="shared" si="175"/>
        <v>3.7146795605163929E-2</v>
      </c>
      <c r="E411" s="11">
        <f t="shared" si="176"/>
        <v>440308</v>
      </c>
      <c r="F411" s="12">
        <f t="shared" si="177"/>
        <v>3.6710869263072078E-2</v>
      </c>
      <c r="G411" s="13">
        <v>1</v>
      </c>
      <c r="H411" s="11">
        <v>119755</v>
      </c>
      <c r="I411" s="12">
        <f t="shared" si="178"/>
        <v>6.0818885113225057E-2</v>
      </c>
      <c r="J411" s="13"/>
      <c r="K411" s="11">
        <v>14956</v>
      </c>
      <c r="L411" s="12">
        <f t="shared" si="179"/>
        <v>1.3091771074328802E-2</v>
      </c>
      <c r="M411" s="13"/>
      <c r="N411" s="24">
        <v>13229</v>
      </c>
      <c r="O411" s="12">
        <f t="shared" si="180"/>
        <v>1.8112340597985176E-2</v>
      </c>
      <c r="P411" s="13"/>
    </row>
    <row r="412" spans="1:16">
      <c r="A412" s="4">
        <f t="shared" si="181"/>
        <v>1</v>
      </c>
      <c r="B412" t="s">
        <v>116</v>
      </c>
      <c r="C412" s="5">
        <v>451866</v>
      </c>
      <c r="D412" s="6">
        <f t="shared" si="175"/>
        <v>2.853451935735099E-2</v>
      </c>
      <c r="E412" s="11">
        <f t="shared" si="176"/>
        <v>411035</v>
      </c>
      <c r="F412" s="12">
        <f t="shared" si="177"/>
        <v>3.4270220272052364E-2</v>
      </c>
      <c r="G412" s="13">
        <v>1</v>
      </c>
      <c r="H412" s="11">
        <v>15720</v>
      </c>
      <c r="I412" s="12">
        <f t="shared" si="178"/>
        <v>7.9835737462310378E-3</v>
      </c>
      <c r="J412" s="13"/>
      <c r="K412" s="11">
        <v>14148</v>
      </c>
      <c r="L412" s="12">
        <f t="shared" si="179"/>
        <v>1.2384486303798067E-2</v>
      </c>
      <c r="M412" s="13"/>
      <c r="N412" s="24">
        <v>10963</v>
      </c>
      <c r="O412" s="12">
        <f t="shared" si="180"/>
        <v>1.5009871492608018E-2</v>
      </c>
      <c r="P412" s="13"/>
    </row>
    <row r="413" spans="1:16">
      <c r="A413" s="4" t="s">
        <v>198</v>
      </c>
      <c r="B413" t="s">
        <v>193</v>
      </c>
      <c r="C413" s="5">
        <v>394938</v>
      </c>
      <c r="D413" s="6">
        <f t="shared" si="175"/>
        <v>2.4939619280834328E-2</v>
      </c>
      <c r="E413" s="11">
        <f>+C413-H413-K413-N413</f>
        <v>68861</v>
      </c>
      <c r="F413" s="12">
        <f t="shared" si="177"/>
        <v>5.7413155525777556E-3</v>
      </c>
      <c r="G413" s="13"/>
      <c r="H413" s="11">
        <v>181213</v>
      </c>
      <c r="I413" s="12">
        <f t="shared" si="178"/>
        <v>9.2031001862326017E-2</v>
      </c>
      <c r="J413" s="13">
        <v>1</v>
      </c>
      <c r="K413" s="11">
        <v>103724</v>
      </c>
      <c r="L413" s="12">
        <f t="shared" si="179"/>
        <v>9.0795056359566764E-2</v>
      </c>
      <c r="M413" s="13"/>
      <c r="N413" s="24">
        <v>41140</v>
      </c>
      <c r="O413" s="12">
        <f t="shared" si="180"/>
        <v>5.6326380845196922E-2</v>
      </c>
      <c r="P413" s="13"/>
    </row>
    <row r="414" spans="1:16">
      <c r="A414" s="4">
        <f t="shared" si="181"/>
        <v>0</v>
      </c>
      <c r="B414" t="s">
        <v>194</v>
      </c>
      <c r="C414" s="5">
        <v>178121</v>
      </c>
      <c r="D414" s="6">
        <f t="shared" si="175"/>
        <v>1.1248018488779229E-2</v>
      </c>
      <c r="E414" s="11">
        <f>+C414-H414-K414-N414</f>
        <v>41042</v>
      </c>
      <c r="F414" s="12">
        <f t="shared" si="177"/>
        <v>3.4218944382000877E-3</v>
      </c>
      <c r="G414" s="13"/>
      <c r="H414" s="11">
        <v>16792</v>
      </c>
      <c r="I414" s="12">
        <f t="shared" si="178"/>
        <v>8.5280006581877586E-3</v>
      </c>
      <c r="J414" s="13"/>
      <c r="K414" s="11">
        <v>3460</v>
      </c>
      <c r="L414" s="12">
        <f t="shared" si="179"/>
        <v>3.0287194381637909E-3</v>
      </c>
      <c r="M414" s="13"/>
      <c r="N414" s="11">
        <v>116827</v>
      </c>
      <c r="O414" s="12">
        <f t="shared" si="180"/>
        <v>0.1599524087263447</v>
      </c>
      <c r="P414" s="13"/>
    </row>
    <row r="415" spans="1:16">
      <c r="A415" s="4">
        <f t="shared" si="181"/>
        <v>0</v>
      </c>
      <c r="B415" t="s">
        <v>189</v>
      </c>
      <c r="C415" s="5">
        <v>89147</v>
      </c>
      <c r="D415" s="6">
        <f t="shared" si="175"/>
        <v>5.629471562697279E-3</v>
      </c>
      <c r="E415" s="14">
        <f t="shared" ref="E415:E416" si="182">+C415-H415-K415-N415</f>
        <v>60877</v>
      </c>
      <c r="F415" s="15">
        <f t="shared" si="177"/>
        <v>5.0756461116492069E-3</v>
      </c>
      <c r="G415" s="16"/>
      <c r="H415" s="14">
        <v>19381</v>
      </c>
      <c r="I415" s="15">
        <f t="shared" si="178"/>
        <v>9.8428525938742822E-3</v>
      </c>
      <c r="J415" s="16"/>
      <c r="K415" s="14">
        <v>4780</v>
      </c>
      <c r="L415" s="15">
        <f t="shared" si="179"/>
        <v>4.1841846573476647E-3</v>
      </c>
      <c r="M415" s="16"/>
      <c r="N415" s="14">
        <v>4109</v>
      </c>
      <c r="O415" s="15">
        <f t="shared" si="180"/>
        <v>5.6257923892298048E-3</v>
      </c>
      <c r="P415" s="16"/>
    </row>
    <row r="416" spans="1:16">
      <c r="A416" s="2">
        <f>SUM(A407:A415)+4</f>
        <v>50</v>
      </c>
      <c r="C416" s="3">
        <v>15835767</v>
      </c>
      <c r="D416" s="22"/>
      <c r="E416" s="21">
        <f t="shared" si="182"/>
        <v>11993941</v>
      </c>
      <c r="G416" s="2">
        <f>SUM(G407:G415)</f>
        <v>36</v>
      </c>
      <c r="H416" s="3">
        <v>1969043</v>
      </c>
      <c r="J416" s="2">
        <f>SUM(J407:J415)</f>
        <v>8</v>
      </c>
      <c r="K416" s="3">
        <v>1142397</v>
      </c>
      <c r="M416" s="2">
        <f>SUM(M407:M415)</f>
        <v>3</v>
      </c>
      <c r="N416" s="3">
        <v>730386</v>
      </c>
      <c r="P416" s="2">
        <f>SUM(P407:P415)</f>
        <v>3</v>
      </c>
    </row>
    <row r="417" spans="1:16">
      <c r="B417" t="s">
        <v>195</v>
      </c>
    </row>
    <row r="420" spans="1:16">
      <c r="A420" s="7" t="s">
        <v>199</v>
      </c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</row>
    <row r="421" spans="1:16">
      <c r="C421" t="s">
        <v>2</v>
      </c>
      <c r="E421" t="s">
        <v>5</v>
      </c>
      <c r="H421" t="s">
        <v>7</v>
      </c>
      <c r="K421" t="s">
        <v>8</v>
      </c>
      <c r="N421" t="s">
        <v>9</v>
      </c>
    </row>
    <row r="422" spans="1:16">
      <c r="A422" t="s">
        <v>6</v>
      </c>
      <c r="C422" t="s">
        <v>3</v>
      </c>
      <c r="D422" t="s">
        <v>4</v>
      </c>
      <c r="E422" s="18" t="s">
        <v>3</v>
      </c>
      <c r="F422" s="18" t="s">
        <v>4</v>
      </c>
      <c r="G422" t="s">
        <v>6</v>
      </c>
      <c r="H422" t="s">
        <v>3</v>
      </c>
      <c r="I422" s="18" t="s">
        <v>4</v>
      </c>
      <c r="J422" t="s">
        <v>6</v>
      </c>
      <c r="K422" t="s">
        <v>3</v>
      </c>
      <c r="L422" s="18" t="s">
        <v>4</v>
      </c>
      <c r="M422" t="s">
        <v>6</v>
      </c>
      <c r="N422" t="s">
        <v>3</v>
      </c>
      <c r="O422" s="18" t="s">
        <v>4</v>
      </c>
      <c r="P422" t="s">
        <v>6</v>
      </c>
    </row>
    <row r="423" spans="1:16">
      <c r="A423" s="4">
        <f>+G423+J423+M423+P423</f>
        <v>17</v>
      </c>
      <c r="B423" t="s">
        <v>153</v>
      </c>
      <c r="C423" s="5">
        <v>4074363</v>
      </c>
      <c r="D423" s="6">
        <f t="shared" ref="D423:D428" si="183">+C423/C$440</f>
        <v>0.26066537578213439</v>
      </c>
      <c r="E423" s="20">
        <f t="shared" ref="E423" si="184">+C423-H423-K423-N423</f>
        <v>3395924</v>
      </c>
      <c r="F423" s="12">
        <f t="shared" ref="F423:F428" si="185">+E423/E$440</f>
        <v>0.29910561368447613</v>
      </c>
      <c r="G423" s="10">
        <v>13</v>
      </c>
      <c r="H423" s="23">
        <v>246220</v>
      </c>
      <c r="I423" s="12">
        <f t="shared" ref="I423:I428" si="186">+H423/H$440</f>
        <v>9.8091514100007771E-2</v>
      </c>
      <c r="J423" s="10">
        <v>1</v>
      </c>
      <c r="K423" s="19">
        <v>354743</v>
      </c>
      <c r="L423" s="12">
        <f t="shared" ref="L423:L428" si="187">+K423/K$440</f>
        <v>0.35165790519770057</v>
      </c>
      <c r="M423" s="10">
        <v>3</v>
      </c>
      <c r="N423" s="23">
        <v>77476</v>
      </c>
      <c r="O423" s="12">
        <f t="shared" ref="O423:O428" si="188">+N423/N$440</f>
        <v>0.10219045496093797</v>
      </c>
      <c r="P423" s="10"/>
    </row>
    <row r="424" spans="1:16">
      <c r="A424" s="4">
        <f t="shared" ref="A424:A427" si="189">+G424+J424+M424+P424</f>
        <v>15</v>
      </c>
      <c r="B424" t="s">
        <v>11</v>
      </c>
      <c r="C424" s="5">
        <v>3596324</v>
      </c>
      <c r="D424" s="6">
        <f t="shared" si="183"/>
        <v>0.23008189179371319</v>
      </c>
      <c r="E424" s="24">
        <f t="shared" ref="E424:E428" si="190">+C424-H424-K424-N424</f>
        <v>2914063</v>
      </c>
      <c r="F424" s="12">
        <f t="shared" si="185"/>
        <v>0.25666434287994244</v>
      </c>
      <c r="G424" s="13">
        <v>12</v>
      </c>
      <c r="H424" s="24">
        <v>358539</v>
      </c>
      <c r="I424" s="12">
        <f t="shared" si="186"/>
        <v>0.14283824780238277</v>
      </c>
      <c r="J424" s="13">
        <v>1</v>
      </c>
      <c r="K424" s="24">
        <v>219207</v>
      </c>
      <c r="L424" s="12">
        <f t="shared" si="187"/>
        <v>0.21730062164629704</v>
      </c>
      <c r="M424" s="13">
        <v>1</v>
      </c>
      <c r="N424" s="11">
        <v>104515</v>
      </c>
      <c r="O424" s="12">
        <f t="shared" si="188"/>
        <v>0.13785476018692797</v>
      </c>
      <c r="P424" s="13">
        <v>1</v>
      </c>
    </row>
    <row r="425" spans="1:16">
      <c r="A425" s="4">
        <f t="shared" si="189"/>
        <v>5</v>
      </c>
      <c r="B425" t="s">
        <v>205</v>
      </c>
      <c r="C425" s="5">
        <v>1562567</v>
      </c>
      <c r="D425" s="6">
        <f t="shared" si="183"/>
        <v>9.9968293016543294E-2</v>
      </c>
      <c r="E425" s="24">
        <f t="shared" si="190"/>
        <v>1155660</v>
      </c>
      <c r="F425" s="12">
        <f t="shared" si="185"/>
        <v>0.10178802396950042</v>
      </c>
      <c r="G425" s="13">
        <v>4</v>
      </c>
      <c r="H425" s="20">
        <v>258554</v>
      </c>
      <c r="I425" s="12">
        <f t="shared" si="186"/>
        <v>0.10300525276831049</v>
      </c>
      <c r="J425" s="13">
        <v>1</v>
      </c>
      <c r="K425" s="24">
        <v>106189</v>
      </c>
      <c r="L425" s="12">
        <f t="shared" si="187"/>
        <v>0.10526550571833307</v>
      </c>
      <c r="M425" s="13"/>
      <c r="N425" s="11">
        <v>42164</v>
      </c>
      <c r="O425" s="12">
        <f t="shared" si="188"/>
        <v>5.5614104277105017E-2</v>
      </c>
      <c r="P425" s="13"/>
    </row>
    <row r="426" spans="1:16">
      <c r="A426" s="4">
        <f t="shared" si="189"/>
        <v>4</v>
      </c>
      <c r="B426" t="s">
        <v>206</v>
      </c>
      <c r="C426" s="5">
        <v>1245948</v>
      </c>
      <c r="D426" s="6">
        <f t="shared" si="183"/>
        <v>7.9711970589021838E-2</v>
      </c>
      <c r="E426" s="24">
        <f t="shared" si="190"/>
        <v>992250</v>
      </c>
      <c r="F426" s="12">
        <f t="shared" si="185"/>
        <v>8.7395225917429681E-2</v>
      </c>
      <c r="G426" s="13">
        <v>4</v>
      </c>
      <c r="H426" s="11">
        <v>117096</v>
      </c>
      <c r="I426" s="12">
        <f t="shared" si="186"/>
        <v>4.6649841341298473E-2</v>
      </c>
      <c r="J426" s="13"/>
      <c r="K426" s="11">
        <v>84216</v>
      </c>
      <c r="L426" s="12">
        <f t="shared" si="187"/>
        <v>8.3483598391313016E-2</v>
      </c>
      <c r="M426" s="13"/>
      <c r="N426" s="11">
        <v>52386</v>
      </c>
      <c r="O426" s="12">
        <f t="shared" si="188"/>
        <v>6.9096870948212305E-2</v>
      </c>
      <c r="P426" s="13"/>
    </row>
    <row r="427" spans="1:16">
      <c r="A427" s="4">
        <f t="shared" si="189"/>
        <v>3</v>
      </c>
      <c r="B427" t="s">
        <v>116</v>
      </c>
      <c r="C427" s="5">
        <v>1015994</v>
      </c>
      <c r="D427" s="6">
        <f t="shared" si="183"/>
        <v>6.5000211763751495E-2</v>
      </c>
      <c r="E427" s="24">
        <f t="shared" si="190"/>
        <v>923358</v>
      </c>
      <c r="F427" s="12">
        <f t="shared" si="185"/>
        <v>8.1327368115561641E-2</v>
      </c>
      <c r="G427" s="13">
        <v>3</v>
      </c>
      <c r="H427" s="24">
        <v>32618</v>
      </c>
      <c r="I427" s="12">
        <f t="shared" si="186"/>
        <v>1.2994675521541928E-2</v>
      </c>
      <c r="J427" s="13"/>
      <c r="K427" s="11">
        <v>35099</v>
      </c>
      <c r="L427" s="12">
        <f t="shared" si="187"/>
        <v>3.4793754392712734E-2</v>
      </c>
      <c r="M427" s="13"/>
      <c r="N427" s="24">
        <v>24919</v>
      </c>
      <c r="O427" s="12">
        <f t="shared" si="188"/>
        <v>3.2868035871387438E-2</v>
      </c>
      <c r="P427" s="13"/>
    </row>
    <row r="428" spans="1:16">
      <c r="A428" s="4" t="s">
        <v>210</v>
      </c>
      <c r="B428" t="s">
        <v>196</v>
      </c>
      <c r="C428" s="5">
        <v>850690</v>
      </c>
      <c r="D428" s="6">
        <f t="shared" si="183"/>
        <v>5.4424563673905316E-2</v>
      </c>
      <c r="E428" s="24">
        <f t="shared" si="190"/>
        <v>84180</v>
      </c>
      <c r="F428" s="12">
        <f t="shared" si="185"/>
        <v>7.4143916530402922E-3</v>
      </c>
      <c r="G428" s="13"/>
      <c r="H428" s="11">
        <v>548718</v>
      </c>
      <c r="I428" s="12">
        <f t="shared" si="186"/>
        <v>0.21860360423169548</v>
      </c>
      <c r="J428" s="13">
        <v>3</v>
      </c>
      <c r="K428" s="11">
        <v>9641</v>
      </c>
      <c r="L428" s="12">
        <f t="shared" si="187"/>
        <v>9.5571550784963512E-3</v>
      </c>
      <c r="M428" s="13"/>
      <c r="N428" s="20">
        <v>208151</v>
      </c>
      <c r="O428" s="12">
        <f t="shared" si="188"/>
        <v>0.27455012378767873</v>
      </c>
      <c r="P428" s="13">
        <v>1</v>
      </c>
    </row>
    <row r="429" spans="1:16">
      <c r="A429" s="4"/>
      <c r="B429" t="s">
        <v>200</v>
      </c>
      <c r="C429" s="5"/>
      <c r="D429" s="6"/>
      <c r="E429" s="11"/>
      <c r="F429" s="12"/>
      <c r="G429" s="13"/>
      <c r="H429" s="11"/>
      <c r="I429" s="12"/>
      <c r="J429" s="13"/>
      <c r="K429" s="11"/>
      <c r="L429" s="12"/>
      <c r="M429" s="13"/>
      <c r="N429" s="24"/>
      <c r="O429" s="12"/>
      <c r="P429" s="13"/>
    </row>
    <row r="430" spans="1:16">
      <c r="A430" s="4">
        <f t="shared" ref="A430:A431" si="191">+G430+J430+M430+P430</f>
        <v>3</v>
      </c>
      <c r="B430" t="s">
        <v>201</v>
      </c>
      <c r="C430" s="5">
        <v>629071</v>
      </c>
      <c r="D430" s="6">
        <f t="shared" ref="D430:D439" si="192">+C430/C$440</f>
        <v>4.0246052845228336E-2</v>
      </c>
      <c r="E430" s="24">
        <f t="shared" ref="E430:E440" si="193">+C430-H430-K430-N430</f>
        <v>33067</v>
      </c>
      <c r="F430" s="12">
        <f t="shared" ref="F430:F439" si="194">+E430/E$440</f>
        <v>2.9124695746149125E-3</v>
      </c>
      <c r="G430" s="13"/>
      <c r="H430" s="20">
        <v>594149</v>
      </c>
      <c r="I430" s="12">
        <f t="shared" ref="I430:I439" si="195">+H430/H$440</f>
        <v>0.23670284709205391</v>
      </c>
      <c r="J430" s="13">
        <v>3</v>
      </c>
      <c r="K430" s="11">
        <v>1054</v>
      </c>
      <c r="L430" s="12">
        <f t="shared" ref="L430:L439" si="196">+K430/K$440</f>
        <v>1.0448336741764499E-3</v>
      </c>
      <c r="M430" s="13"/>
      <c r="N430" s="24">
        <v>801</v>
      </c>
      <c r="O430" s="12">
        <f t="shared" ref="O430:O439" si="197">+N430/N$440</f>
        <v>1.0565149778474794E-3</v>
      </c>
      <c r="P430" s="13"/>
    </row>
    <row r="431" spans="1:16">
      <c r="A431" s="4">
        <f t="shared" si="191"/>
        <v>1</v>
      </c>
      <c r="B431" t="s">
        <v>118</v>
      </c>
      <c r="C431" s="5">
        <v>495114</v>
      </c>
      <c r="D431" s="6">
        <f t="shared" si="192"/>
        <v>3.1675890652108241E-2</v>
      </c>
      <c r="E431" s="24">
        <f t="shared" si="193"/>
        <v>314715</v>
      </c>
      <c r="F431" s="12">
        <f t="shared" si="194"/>
        <v>2.7719413982971914E-2</v>
      </c>
      <c r="G431" s="13">
        <v>1</v>
      </c>
      <c r="H431" s="11">
        <v>157873</v>
      </c>
      <c r="I431" s="12">
        <f t="shared" si="195"/>
        <v>6.2894978496915471E-2</v>
      </c>
      <c r="J431" s="13"/>
      <c r="K431" s="11">
        <v>16309</v>
      </c>
      <c r="L431" s="12">
        <f t="shared" si="196"/>
        <v>1.6167165457441863E-2</v>
      </c>
      <c r="M431" s="13"/>
      <c r="N431" s="24">
        <v>6217</v>
      </c>
      <c r="O431" s="12">
        <f t="shared" si="197"/>
        <v>8.2001917818698856E-3</v>
      </c>
      <c r="P431" s="13"/>
    </row>
    <row r="432" spans="1:16">
      <c r="A432" s="4" t="s">
        <v>211</v>
      </c>
      <c r="B432" t="s">
        <v>202</v>
      </c>
      <c r="C432" s="5">
        <v>324534</v>
      </c>
      <c r="D432" s="6">
        <f t="shared" si="192"/>
        <v>2.0762700099151498E-2</v>
      </c>
      <c r="E432" s="24">
        <f t="shared" si="193"/>
        <v>60313</v>
      </c>
      <c r="F432" s="12">
        <f t="shared" si="194"/>
        <v>5.3122381060800566E-3</v>
      </c>
      <c r="G432" s="13"/>
      <c r="H432" s="11">
        <v>7402</v>
      </c>
      <c r="I432" s="12">
        <f t="shared" si="195"/>
        <v>2.9488806245157075E-3</v>
      </c>
      <c r="J432" s="13"/>
      <c r="K432" s="11">
        <v>79732</v>
      </c>
      <c r="L432" s="12">
        <f t="shared" si="196"/>
        <v>7.9038594411230276E-2</v>
      </c>
      <c r="M432" s="13"/>
      <c r="N432" s="11">
        <v>177087</v>
      </c>
      <c r="O432" s="12">
        <f t="shared" si="197"/>
        <v>0.23357686377287962</v>
      </c>
      <c r="P432" s="13">
        <v>1</v>
      </c>
    </row>
    <row r="433" spans="1:16">
      <c r="A433" s="4">
        <f t="shared" ref="A433:A439" si="198">+G433+J433+M433+P433</f>
        <v>1</v>
      </c>
      <c r="B433" t="s">
        <v>203</v>
      </c>
      <c r="C433" s="5">
        <v>299884</v>
      </c>
      <c r="D433" s="6">
        <f t="shared" si="192"/>
        <v>1.9185667931661855E-2</v>
      </c>
      <c r="E433" s="24">
        <f t="shared" si="193"/>
        <v>273363</v>
      </c>
      <c r="F433" s="12">
        <f t="shared" si="194"/>
        <v>2.4077219594322328E-2</v>
      </c>
      <c r="G433" s="13">
        <v>1</v>
      </c>
      <c r="H433" s="11">
        <v>7890</v>
      </c>
      <c r="I433" s="12">
        <f t="shared" si="195"/>
        <v>3.1432948024086643E-3</v>
      </c>
      <c r="J433" s="13"/>
      <c r="K433" s="11">
        <v>6952</v>
      </c>
      <c r="L433" s="12">
        <f t="shared" si="196"/>
        <v>6.8915405150613666E-3</v>
      </c>
      <c r="M433" s="13"/>
      <c r="N433" s="11">
        <v>11679</v>
      </c>
      <c r="O433" s="12">
        <f t="shared" si="197"/>
        <v>1.5404542354907255E-2</v>
      </c>
      <c r="P433" s="13"/>
    </row>
    <row r="434" spans="1:16">
      <c r="A434" s="4">
        <f t="shared" si="198"/>
        <v>0</v>
      </c>
      <c r="B434" t="s">
        <v>207</v>
      </c>
      <c r="C434" s="5">
        <v>244929</v>
      </c>
      <c r="D434" s="6">
        <f t="shared" si="192"/>
        <v>1.5669813864140823E-2</v>
      </c>
      <c r="E434" s="24">
        <f t="shared" si="193"/>
        <v>225104</v>
      </c>
      <c r="F434" s="12">
        <f t="shared" si="194"/>
        <v>1.9826671640128083E-2</v>
      </c>
      <c r="G434" s="13"/>
      <c r="H434" s="11">
        <v>7851</v>
      </c>
      <c r="I434" s="12">
        <f t="shared" si="195"/>
        <v>3.1277576037655797E-3</v>
      </c>
      <c r="J434" s="13"/>
      <c r="K434" s="11">
        <v>7790</v>
      </c>
      <c r="L434" s="12">
        <f t="shared" si="196"/>
        <v>7.722252677262377E-3</v>
      </c>
      <c r="M434" s="13"/>
      <c r="N434" s="11">
        <v>4184</v>
      </c>
      <c r="O434" s="12">
        <f t="shared" si="197"/>
        <v>5.5186749904043118E-3</v>
      </c>
      <c r="P434" s="13"/>
    </row>
    <row r="435" spans="1:16">
      <c r="A435" s="4">
        <f t="shared" si="198"/>
        <v>0</v>
      </c>
      <c r="B435" t="s">
        <v>129</v>
      </c>
      <c r="C435" s="5">
        <v>176237</v>
      </c>
      <c r="D435" s="6">
        <f t="shared" si="192"/>
        <v>1.1275108239426878E-2</v>
      </c>
      <c r="E435" s="24">
        <f t="shared" si="193"/>
        <v>126787</v>
      </c>
      <c r="F435" s="12">
        <f t="shared" si="194"/>
        <v>1.1167123717201468E-2</v>
      </c>
      <c r="G435" s="13"/>
      <c r="H435" s="11">
        <v>32036</v>
      </c>
      <c r="I435" s="12">
        <f t="shared" si="195"/>
        <v>1.2762812711022049E-2</v>
      </c>
      <c r="J435" s="13"/>
      <c r="K435" s="11">
        <v>10871</v>
      </c>
      <c r="L435" s="12">
        <f t="shared" si="196"/>
        <v>1.0776458132800938E-2</v>
      </c>
      <c r="M435" s="13"/>
      <c r="N435" s="11">
        <v>6543</v>
      </c>
      <c r="O435" s="12">
        <f t="shared" si="197"/>
        <v>8.630184144888961E-3</v>
      </c>
      <c r="P435" s="13"/>
    </row>
    <row r="436" spans="1:16">
      <c r="A436" s="4">
        <f t="shared" si="198"/>
        <v>0</v>
      </c>
      <c r="B436" t="s">
        <v>132</v>
      </c>
      <c r="C436" s="5">
        <v>115308</v>
      </c>
      <c r="D436" s="6">
        <f t="shared" si="192"/>
        <v>7.3770557877848274E-3</v>
      </c>
      <c r="E436" s="24">
        <f t="shared" si="193"/>
        <v>80928</v>
      </c>
      <c r="F436" s="12">
        <f t="shared" si="194"/>
        <v>7.1279625528301825E-3</v>
      </c>
      <c r="G436" s="13"/>
      <c r="H436" s="11">
        <v>19381</v>
      </c>
      <c r="I436" s="12">
        <f t="shared" si="195"/>
        <v>7.721190946195478E-3</v>
      </c>
      <c r="J436" s="13"/>
      <c r="K436" s="11">
        <v>7914</v>
      </c>
      <c r="L436" s="12">
        <f t="shared" si="196"/>
        <v>7.8451742859890188E-3</v>
      </c>
      <c r="M436" s="13"/>
      <c r="N436" s="11">
        <v>7085</v>
      </c>
      <c r="O436" s="12">
        <f t="shared" si="197"/>
        <v>9.3450794232826356E-3</v>
      </c>
      <c r="P436" s="13"/>
    </row>
    <row r="437" spans="1:16">
      <c r="A437" s="4">
        <f t="shared" si="198"/>
        <v>0</v>
      </c>
      <c r="B437" t="s">
        <v>208</v>
      </c>
      <c r="C437" s="5">
        <v>105183</v>
      </c>
      <c r="D437" s="6">
        <f t="shared" si="192"/>
        <v>6.7292890252764028E-3</v>
      </c>
      <c r="E437" s="24">
        <f t="shared" si="193"/>
        <v>79907</v>
      </c>
      <c r="F437" s="12">
        <f t="shared" si="194"/>
        <v>7.0380350893263326E-3</v>
      </c>
      <c r="G437" s="13"/>
      <c r="H437" s="11">
        <v>13670</v>
      </c>
      <c r="I437" s="12">
        <f t="shared" si="195"/>
        <v>5.4459873192555693E-3</v>
      </c>
      <c r="J437" s="13"/>
      <c r="K437" s="11">
        <v>7560</v>
      </c>
      <c r="L437" s="12">
        <f t="shared" si="196"/>
        <v>7.4942529191403817E-3</v>
      </c>
      <c r="M437" s="13"/>
      <c r="N437" s="11">
        <v>4046</v>
      </c>
      <c r="O437" s="12">
        <f t="shared" si="197"/>
        <v>5.3366536833594274E-3</v>
      </c>
      <c r="P437" s="13"/>
    </row>
    <row r="438" spans="1:16">
      <c r="A438" s="4">
        <f t="shared" si="198"/>
        <v>0</v>
      </c>
      <c r="B438" t="s">
        <v>209</v>
      </c>
      <c r="C438" s="5">
        <v>100115</v>
      </c>
      <c r="D438" s="6">
        <f t="shared" si="192"/>
        <v>6.4050537707190996E-3</v>
      </c>
      <c r="E438" s="24">
        <f t="shared" ref="E438" si="199">+C438-H438-K438-N438</f>
        <v>79378</v>
      </c>
      <c r="F438" s="12">
        <f t="shared" si="194"/>
        <v>6.9914419177361884E-3</v>
      </c>
      <c r="G438" s="13"/>
      <c r="H438" s="11">
        <v>12611</v>
      </c>
      <c r="I438" s="12">
        <f t="shared" si="195"/>
        <v>5.0240926176395011E-3</v>
      </c>
      <c r="J438" s="13"/>
      <c r="K438" s="11">
        <v>5006</v>
      </c>
      <c r="L438" s="12">
        <f t="shared" si="196"/>
        <v>4.9624643006900464E-3</v>
      </c>
      <c r="M438" s="13"/>
      <c r="N438" s="11">
        <v>3120</v>
      </c>
      <c r="O438" s="12">
        <f t="shared" si="197"/>
        <v>4.1152643331886837E-3</v>
      </c>
      <c r="P438" s="13"/>
    </row>
    <row r="439" spans="1:16">
      <c r="A439" s="4">
        <f t="shared" si="198"/>
        <v>0</v>
      </c>
      <c r="B439" t="s">
        <v>55</v>
      </c>
      <c r="C439" s="5">
        <v>49251</v>
      </c>
      <c r="D439" s="6">
        <f t="shared" si="192"/>
        <v>3.1509294637335704E-3</v>
      </c>
      <c r="E439" s="29">
        <f t="shared" si="193"/>
        <v>47794</v>
      </c>
      <c r="F439" s="15">
        <f t="shared" si="194"/>
        <v>4.2095917636660457E-3</v>
      </c>
      <c r="G439" s="16"/>
      <c r="H439" s="14">
        <v>1114</v>
      </c>
      <c r="I439" s="15">
        <f t="shared" si="195"/>
        <v>4.438061355999052E-4</v>
      </c>
      <c r="J439" s="16"/>
      <c r="K439" s="14">
        <v>232</v>
      </c>
      <c r="L439" s="15">
        <f t="shared" si="196"/>
        <v>2.2998236471436092E-4</v>
      </c>
      <c r="M439" s="16"/>
      <c r="N439" s="14">
        <v>111</v>
      </c>
      <c r="O439" s="15">
        <f t="shared" si="197"/>
        <v>1.4640844262305894E-4</v>
      </c>
      <c r="P439" s="16"/>
    </row>
    <row r="440" spans="1:16">
      <c r="A440" s="2">
        <f>SUM(A423:A439)+5</f>
        <v>54</v>
      </c>
      <c r="C440" s="3">
        <f>15920815-290189</f>
        <v>15630626</v>
      </c>
      <c r="D440" s="22"/>
      <c r="E440" s="30">
        <f t="shared" si="193"/>
        <v>11353595</v>
      </c>
      <c r="G440" s="2">
        <f>SUM(G423:G439)</f>
        <v>38</v>
      </c>
      <c r="H440" s="3">
        <f>2532629-22524</f>
        <v>2510105</v>
      </c>
      <c r="J440" s="2">
        <v>9</v>
      </c>
      <c r="K440" s="3">
        <f>1035487-26714</f>
        <v>1008773</v>
      </c>
      <c r="M440" s="2">
        <v>4</v>
      </c>
      <c r="N440" s="3">
        <f>766294-8141</f>
        <v>758153</v>
      </c>
      <c r="P440" s="2">
        <v>3</v>
      </c>
    </row>
    <row r="441" spans="1:16">
      <c r="B441" t="s">
        <v>204</v>
      </c>
    </row>
    <row r="444" spans="1:16">
      <c r="A444" s="7" t="s">
        <v>230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>
      <c r="C445" t="s">
        <v>2</v>
      </c>
      <c r="E445" t="s">
        <v>5</v>
      </c>
      <c r="H445" t="s">
        <v>7</v>
      </c>
      <c r="K445" t="s">
        <v>8</v>
      </c>
      <c r="N445" t="s">
        <v>9</v>
      </c>
    </row>
    <row r="446" spans="1:16">
      <c r="A446" t="s">
        <v>6</v>
      </c>
      <c r="C446" t="s">
        <v>3</v>
      </c>
      <c r="D446" t="s">
        <v>4</v>
      </c>
      <c r="E446" s="18" t="s">
        <v>3</v>
      </c>
      <c r="F446" s="18" t="s">
        <v>4</v>
      </c>
      <c r="G446" t="s">
        <v>6</v>
      </c>
      <c r="H446" t="s">
        <v>3</v>
      </c>
      <c r="I446" s="18" t="s">
        <v>4</v>
      </c>
      <c r="J446" t="s">
        <v>6</v>
      </c>
      <c r="K446" t="s">
        <v>3</v>
      </c>
      <c r="L446" s="18" t="s">
        <v>4</v>
      </c>
      <c r="M446" t="s">
        <v>6</v>
      </c>
      <c r="N446" t="s">
        <v>3</v>
      </c>
      <c r="O446" s="18" t="s">
        <v>4</v>
      </c>
      <c r="P446" t="s">
        <v>6</v>
      </c>
    </row>
    <row r="447" spans="1:16">
      <c r="A447" s="4">
        <f>+G447+J447+M447+P447</f>
        <v>20</v>
      </c>
      <c r="B447" t="s">
        <v>11</v>
      </c>
      <c r="C447" s="5">
        <v>7369789</v>
      </c>
      <c r="D447" s="6">
        <f>+C447/C$459</f>
        <v>0.32862602830117416</v>
      </c>
      <c r="E447" s="20">
        <f t="shared" ref="E447:E459" si="200">+C447-H447-K447-N447</f>
        <v>5889451</v>
      </c>
      <c r="F447" s="12">
        <f>+E447/E$459</f>
        <v>0.35870086291739178</v>
      </c>
      <c r="G447" s="10">
        <v>15</v>
      </c>
      <c r="H447" s="23">
        <v>756211</v>
      </c>
      <c r="I447" s="12">
        <f>+H447/H$459</f>
        <v>0.22062733457639847</v>
      </c>
      <c r="J447" s="10">
        <v>2</v>
      </c>
      <c r="K447" s="19">
        <f>201384+64907+61777+183178</f>
        <v>511246</v>
      </c>
      <c r="L447" s="12">
        <f>+K447/K$459</f>
        <v>0.35068226669072017</v>
      </c>
      <c r="M447" s="10">
        <v>2</v>
      </c>
      <c r="N447" s="23">
        <f>35709+66891+110281</f>
        <v>212881</v>
      </c>
      <c r="O447" s="12">
        <f>+N447/N$459</f>
        <v>0.18976412415906665</v>
      </c>
      <c r="P447" s="10">
        <v>1</v>
      </c>
    </row>
    <row r="448" spans="1:16">
      <c r="A448" s="4">
        <f t="shared" ref="A448:A451" si="201">+G448+J448+M448+P448</f>
        <v>12</v>
      </c>
      <c r="B448" t="s">
        <v>153</v>
      </c>
      <c r="C448" s="5">
        <v>4519205</v>
      </c>
      <c r="D448" s="6">
        <f t="shared" ref="D448:D458" si="202">+C448/C$459</f>
        <v>0.20151572727914027</v>
      </c>
      <c r="E448" s="24">
        <f t="shared" si="200"/>
        <v>3835842</v>
      </c>
      <c r="F448" s="12">
        <f t="shared" ref="F448:F458" si="203">+E448/E$459</f>
        <v>0.23362446438806841</v>
      </c>
      <c r="G448" s="13">
        <v>10</v>
      </c>
      <c r="H448" s="24">
        <v>176752</v>
      </c>
      <c r="I448" s="12">
        <f t="shared" ref="I448:I458" si="204">+H448/H$459</f>
        <v>5.1568044687326134E-2</v>
      </c>
      <c r="J448" s="13"/>
      <c r="K448" s="24">
        <f>65964+64093+134639+169641</f>
        <v>434337</v>
      </c>
      <c r="L448" s="12">
        <f t="shared" ref="L448:L458" si="205">+K448/K$459</f>
        <v>0.29792758020140464</v>
      </c>
      <c r="M448" s="13">
        <v>2</v>
      </c>
      <c r="N448" s="11">
        <f>20137+36276+15861</f>
        <v>72274</v>
      </c>
      <c r="O448" s="12">
        <f t="shared" ref="O448:O458" si="206">+N448/N$459</f>
        <v>6.4425722866166463E-2</v>
      </c>
      <c r="P448" s="13"/>
    </row>
    <row r="449" spans="1:16">
      <c r="A449" s="4">
        <f t="shared" si="201"/>
        <v>7</v>
      </c>
      <c r="B449" t="s">
        <v>118</v>
      </c>
      <c r="C449" s="5">
        <v>2731825</v>
      </c>
      <c r="D449" s="6">
        <f t="shared" si="202"/>
        <v>0.12181472220763107</v>
      </c>
      <c r="E449" s="24">
        <f t="shared" si="200"/>
        <v>2308510</v>
      </c>
      <c r="F449" s="12">
        <f t="shared" si="203"/>
        <v>0.14060131055567457</v>
      </c>
      <c r="G449" s="13">
        <v>6</v>
      </c>
      <c r="H449" s="24">
        <v>295435</v>
      </c>
      <c r="I449" s="12">
        <f t="shared" si="204"/>
        <v>8.6194245508962819E-2</v>
      </c>
      <c r="J449" s="13">
        <v>1</v>
      </c>
      <c r="K449" s="24">
        <f>41164+9787+12672+33793</f>
        <v>97416</v>
      </c>
      <c r="L449" s="12">
        <f t="shared" si="205"/>
        <v>6.6821185284468135E-2</v>
      </c>
      <c r="M449" s="13"/>
      <c r="N449" s="11">
        <f>6028+15987+8449</f>
        <v>30464</v>
      </c>
      <c r="O449" s="12">
        <f t="shared" si="206"/>
        <v>2.7155895915472995E-2</v>
      </c>
      <c r="P449" s="13"/>
    </row>
    <row r="450" spans="1:16">
      <c r="A450" s="4">
        <f t="shared" si="201"/>
        <v>5</v>
      </c>
      <c r="B450" t="s">
        <v>231</v>
      </c>
      <c r="C450" s="5">
        <v>2258857</v>
      </c>
      <c r="D450" s="6">
        <f t="shared" si="202"/>
        <v>0.10072462107263931</v>
      </c>
      <c r="E450" s="24">
        <f t="shared" si="200"/>
        <v>1727858</v>
      </c>
      <c r="F450" s="12">
        <f t="shared" si="203"/>
        <v>0.10523632094039304</v>
      </c>
      <c r="G450" s="13">
        <v>4</v>
      </c>
      <c r="H450" s="11">
        <v>288393</v>
      </c>
      <c r="I450" s="12">
        <f t="shared" si="204"/>
        <v>8.4139716164524564E-2</v>
      </c>
      <c r="J450" s="13">
        <v>1</v>
      </c>
      <c r="K450" s="11">
        <f>10930+9543+49512+48506</f>
        <v>118491</v>
      </c>
      <c r="L450" s="12">
        <f t="shared" si="205"/>
        <v>8.1277295983636297E-2</v>
      </c>
      <c r="M450" s="13"/>
      <c r="N450" s="11">
        <f>18993+67625+37497</f>
        <v>124115</v>
      </c>
      <c r="O450" s="12">
        <f t="shared" si="206"/>
        <v>0.11063727749307152</v>
      </c>
      <c r="P450" s="13"/>
    </row>
    <row r="451" spans="1:16">
      <c r="A451" s="4">
        <f t="shared" si="201"/>
        <v>3</v>
      </c>
      <c r="B451" t="s">
        <v>207</v>
      </c>
      <c r="C451" s="5">
        <v>1393684</v>
      </c>
      <c r="D451" s="6">
        <f t="shared" si="202"/>
        <v>6.2145719182312223E-2</v>
      </c>
      <c r="E451" s="24">
        <f t="shared" si="200"/>
        <v>1273780</v>
      </c>
      <c r="F451" s="12">
        <f t="shared" si="203"/>
        <v>7.7580403532844622E-2</v>
      </c>
      <c r="G451" s="13">
        <v>3</v>
      </c>
      <c r="H451" s="24">
        <v>68286</v>
      </c>
      <c r="I451" s="12">
        <f t="shared" si="204"/>
        <v>1.9922691112512176E-2</v>
      </c>
      <c r="J451" s="13"/>
      <c r="K451" s="11">
        <f>16376+5002+4677+11837</f>
        <v>37892</v>
      </c>
      <c r="L451" s="12">
        <f t="shared" si="205"/>
        <v>2.599150399112124E-2</v>
      </c>
      <c r="M451" s="13"/>
      <c r="N451" s="24">
        <f>3350+7173+3203</f>
        <v>13726</v>
      </c>
      <c r="O451" s="12">
        <f t="shared" si="206"/>
        <v>1.2235485403616804E-2</v>
      </c>
      <c r="P451" s="13"/>
    </row>
    <row r="452" spans="1:16">
      <c r="A452" s="4" t="s">
        <v>237</v>
      </c>
      <c r="B452" t="s">
        <v>236</v>
      </c>
      <c r="C452" s="5">
        <v>1252139</v>
      </c>
      <c r="D452" s="6">
        <f t="shared" si="202"/>
        <v>5.583409056229479E-2</v>
      </c>
      <c r="E452" s="24">
        <f t="shared" si="200"/>
        <v>106075</v>
      </c>
      <c r="F452" s="12">
        <f t="shared" si="203"/>
        <v>6.4605672131345234E-3</v>
      </c>
      <c r="G452" s="13"/>
      <c r="H452" s="11">
        <v>727039</v>
      </c>
      <c r="I452" s="12">
        <f t="shared" si="204"/>
        <v>0.21211629651392291</v>
      </c>
      <c r="J452" s="13">
        <v>2</v>
      </c>
      <c r="K452" s="11">
        <v>172088</v>
      </c>
      <c r="L452" s="12">
        <f t="shared" si="205"/>
        <v>0.11804143193349709</v>
      </c>
      <c r="M452" s="13"/>
      <c r="N452" s="24">
        <v>246937</v>
      </c>
      <c r="O452" s="12">
        <f t="shared" si="206"/>
        <v>0.22012196263390083</v>
      </c>
      <c r="P452" s="13">
        <v>1</v>
      </c>
    </row>
    <row r="453" spans="1:16">
      <c r="A453" s="4">
        <f t="shared" ref="A453:A456" si="207">+G453+J453+M453+P453</f>
        <v>3</v>
      </c>
      <c r="B453" t="s">
        <v>232</v>
      </c>
      <c r="C453" s="5">
        <v>1018435</v>
      </c>
      <c r="D453" s="6">
        <f t="shared" si="202"/>
        <v>4.5413002886908478E-2</v>
      </c>
      <c r="E453" s="24">
        <f t="shared" si="200"/>
        <v>30031</v>
      </c>
      <c r="F453" s="12">
        <f t="shared" si="203"/>
        <v>1.8290576853890444E-3</v>
      </c>
      <c r="G453" s="13"/>
      <c r="H453" s="20">
        <v>981357</v>
      </c>
      <c r="I453" s="12">
        <f t="shared" si="204"/>
        <v>0.28631450637175426</v>
      </c>
      <c r="J453" s="13">
        <v>3</v>
      </c>
      <c r="K453" s="11">
        <v>1974</v>
      </c>
      <c r="L453" s="12">
        <f t="shared" si="205"/>
        <v>1.3540385537441498E-3</v>
      </c>
      <c r="M453" s="13"/>
      <c r="N453" s="24">
        <v>5073</v>
      </c>
      <c r="O453" s="12">
        <f t="shared" si="206"/>
        <v>4.5221198785187272E-3</v>
      </c>
      <c r="P453" s="13"/>
    </row>
    <row r="454" spans="1:16">
      <c r="A454" s="4" t="s">
        <v>148</v>
      </c>
      <c r="B454" t="s">
        <v>238</v>
      </c>
      <c r="C454" s="5">
        <v>633090</v>
      </c>
      <c r="D454" s="6">
        <f t="shared" si="202"/>
        <v>2.823009617469243E-2</v>
      </c>
      <c r="E454" s="24">
        <f t="shared" si="200"/>
        <v>242064</v>
      </c>
      <c r="F454" s="12">
        <f t="shared" si="203"/>
        <v>1.4743066150178603E-2</v>
      </c>
      <c r="G454" s="13"/>
      <c r="H454" s="24">
        <v>3957</v>
      </c>
      <c r="I454" s="12">
        <f t="shared" si="204"/>
        <v>1.1544692723575944E-3</v>
      </c>
      <c r="J454" s="13"/>
      <c r="K454" s="11">
        <v>6492</v>
      </c>
      <c r="L454" s="12">
        <f t="shared" si="205"/>
        <v>4.4530994381494528E-3</v>
      </c>
      <c r="M454" s="13"/>
      <c r="N454" s="20">
        <v>380577</v>
      </c>
      <c r="O454" s="12">
        <f t="shared" si="206"/>
        <v>0.33924991464755011</v>
      </c>
      <c r="P454" s="13">
        <v>1</v>
      </c>
    </row>
    <row r="455" spans="1:16">
      <c r="A455" s="4">
        <f t="shared" si="207"/>
        <v>0</v>
      </c>
      <c r="B455" t="s">
        <v>233</v>
      </c>
      <c r="C455" s="5">
        <v>296491</v>
      </c>
      <c r="D455" s="6">
        <f t="shared" si="202"/>
        <v>1.3220820807358723E-2</v>
      </c>
      <c r="E455" s="24">
        <f t="shared" si="200"/>
        <v>276369</v>
      </c>
      <c r="F455" s="12">
        <f t="shared" si="203"/>
        <v>1.6832434599356825E-2</v>
      </c>
      <c r="G455" s="13"/>
      <c r="H455" s="11">
        <v>3896</v>
      </c>
      <c r="I455" s="12">
        <f t="shared" si="204"/>
        <v>1.1366722984850106E-3</v>
      </c>
      <c r="J455" s="13"/>
      <c r="K455" s="11">
        <v>15375</v>
      </c>
      <c r="L455" s="12">
        <f t="shared" si="205"/>
        <v>1.0546272929998128E-2</v>
      </c>
      <c r="M455" s="13"/>
      <c r="N455" s="24">
        <v>851</v>
      </c>
      <c r="O455" s="12">
        <f t="shared" si="206"/>
        <v>7.5858939811146008E-4</v>
      </c>
      <c r="P455" s="13"/>
    </row>
    <row r="456" spans="1:16">
      <c r="A456" s="4">
        <f t="shared" si="207"/>
        <v>0</v>
      </c>
      <c r="B456" t="s">
        <v>129</v>
      </c>
      <c r="C456" s="5">
        <v>295546</v>
      </c>
      <c r="D456" s="6">
        <f t="shared" si="202"/>
        <v>1.3178682342235147E-2</v>
      </c>
      <c r="E456" s="24">
        <f t="shared" si="200"/>
        <v>219845</v>
      </c>
      <c r="F456" s="12">
        <f t="shared" si="203"/>
        <v>1.3389803431266173E-2</v>
      </c>
      <c r="G456" s="13"/>
      <c r="H456" s="11">
        <v>48229</v>
      </c>
      <c r="I456" s="12">
        <f t="shared" si="204"/>
        <v>1.4070987752472685E-2</v>
      </c>
      <c r="J456" s="13"/>
      <c r="K456" s="11">
        <f>7124+1672+1891+7462</f>
        <v>18149</v>
      </c>
      <c r="L456" s="12">
        <f t="shared" si="205"/>
        <v>1.2449060644327546E-2</v>
      </c>
      <c r="M456" s="13"/>
      <c r="N456" s="11">
        <f>1630+5046+2647</f>
        <v>9323</v>
      </c>
      <c r="O456" s="12">
        <f t="shared" si="206"/>
        <v>8.3106098220835974E-3</v>
      </c>
      <c r="P456" s="13"/>
    </row>
    <row r="457" spans="1:16">
      <c r="A457" s="4">
        <f t="shared" ref="A457:A458" si="208">+G457+J457+M457+P457</f>
        <v>0</v>
      </c>
      <c r="B457" t="s">
        <v>234</v>
      </c>
      <c r="C457" s="5">
        <v>65504</v>
      </c>
      <c r="D457" s="6">
        <f t="shared" si="202"/>
        <v>2.9208867930737383E-3</v>
      </c>
      <c r="E457" s="24">
        <f t="shared" si="200"/>
        <v>46556</v>
      </c>
      <c r="F457" s="12">
        <f t="shared" si="203"/>
        <v>2.8355236122997018E-3</v>
      </c>
      <c r="G457" s="13"/>
      <c r="H457" s="11">
        <v>11535</v>
      </c>
      <c r="I457" s="12">
        <f t="shared" si="204"/>
        <v>3.3653785839385521E-3</v>
      </c>
      <c r="J457" s="13"/>
      <c r="K457" s="11">
        <f>1780+1237+512+581</f>
        <v>4110</v>
      </c>
      <c r="L457" s="12">
        <f t="shared" si="205"/>
        <v>2.8191988125068164E-3</v>
      </c>
      <c r="M457" s="13"/>
      <c r="N457" s="11">
        <f>671+1550+1082</f>
        <v>3303</v>
      </c>
      <c r="O457" s="12">
        <f t="shared" si="206"/>
        <v>2.9443252431987691E-3</v>
      </c>
      <c r="P457" s="13"/>
    </row>
    <row r="458" spans="1:16">
      <c r="A458" s="4">
        <f t="shared" si="208"/>
        <v>0</v>
      </c>
      <c r="B458" t="s">
        <v>235</v>
      </c>
      <c r="C458" s="34">
        <v>50002</v>
      </c>
      <c r="D458" s="35">
        <f t="shared" si="202"/>
        <v>2.2296376011735628E-3</v>
      </c>
      <c r="E458" s="29">
        <f t="shared" si="200"/>
        <v>36934</v>
      </c>
      <c r="F458" s="15">
        <f t="shared" si="203"/>
        <v>2.2494894126788641E-3</v>
      </c>
      <c r="G458" s="16"/>
      <c r="H458" s="14">
        <v>6989</v>
      </c>
      <c r="I458" s="15">
        <f t="shared" si="204"/>
        <v>2.0390663999260111E-3</v>
      </c>
      <c r="J458" s="16"/>
      <c r="K458" s="14">
        <f>1741+1307+397+556</f>
        <v>4001</v>
      </c>
      <c r="L458" s="15">
        <f t="shared" si="205"/>
        <v>2.7444317393770738E-3</v>
      </c>
      <c r="M458" s="16"/>
      <c r="N458" s="14">
        <f>623+1013+442</f>
        <v>2078</v>
      </c>
      <c r="O458" s="15">
        <f t="shared" si="206"/>
        <v>1.8523487300536004E-3</v>
      </c>
      <c r="P458" s="16"/>
    </row>
    <row r="459" spans="1:16">
      <c r="A459" s="32">
        <f>SUM(A447:A458)+4</f>
        <v>54</v>
      </c>
      <c r="C459" s="33">
        <v>22426066</v>
      </c>
      <c r="D459" s="17"/>
      <c r="E459" s="24">
        <f t="shared" si="200"/>
        <v>16418837</v>
      </c>
      <c r="F459" s="12"/>
      <c r="G459" s="32">
        <f>SUM(G447:G458)</f>
        <v>38</v>
      </c>
      <c r="H459" s="11">
        <v>3427549</v>
      </c>
      <c r="I459" s="12"/>
      <c r="J459" s="32">
        <f>SUM(J447:J458)</f>
        <v>9</v>
      </c>
      <c r="K459" s="11">
        <f>589586+186774+179166+502335</f>
        <v>1457861</v>
      </c>
      <c r="L459" s="12"/>
      <c r="M459" s="32">
        <f>SUM(M447:M458)</f>
        <v>4</v>
      </c>
      <c r="N459" s="11">
        <f>161535+593031+367253</f>
        <v>1121819</v>
      </c>
      <c r="O459" s="12"/>
      <c r="P459" s="32">
        <f>SUM(P447:P458)</f>
        <v>3</v>
      </c>
    </row>
    <row r="460" spans="1:16">
      <c r="A460" s="32"/>
      <c r="C460" s="36"/>
      <c r="D460" s="37"/>
      <c r="E460" s="30"/>
      <c r="F460" s="12"/>
      <c r="G460" s="31"/>
      <c r="H460" s="21"/>
      <c r="I460" s="12"/>
      <c r="J460" s="31"/>
      <c r="K460" s="21"/>
      <c r="L460" s="12"/>
      <c r="M460" s="31"/>
      <c r="N460" s="21"/>
      <c r="O460" s="12"/>
      <c r="P460" s="31"/>
    </row>
    <row r="461" spans="1:16">
      <c r="A461" s="32"/>
      <c r="C461" s="36"/>
      <c r="D461" s="37"/>
      <c r="E461" s="30"/>
      <c r="F461" s="12"/>
      <c r="G461" s="31"/>
      <c r="H461" s="21"/>
      <c r="I461" s="12"/>
      <c r="J461" s="31"/>
      <c r="K461" s="21"/>
      <c r="L461" s="12"/>
      <c r="M461" s="31"/>
      <c r="N461" s="21"/>
      <c r="O461" s="12"/>
      <c r="P461" s="31"/>
    </row>
    <row r="462" spans="1:16">
      <c r="A462" s="7" t="s">
        <v>240</v>
      </c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>
      <c r="C463" t="s">
        <v>2</v>
      </c>
      <c r="E463" t="s">
        <v>5</v>
      </c>
      <c r="H463" t="s">
        <v>7</v>
      </c>
      <c r="K463" t="s">
        <v>8</v>
      </c>
      <c r="N463" t="s">
        <v>9</v>
      </c>
    </row>
    <row r="464" spans="1:16">
      <c r="A464" t="s">
        <v>6</v>
      </c>
      <c r="C464" t="s">
        <v>3</v>
      </c>
      <c r="D464" t="s">
        <v>4</v>
      </c>
      <c r="E464" s="18" t="s">
        <v>3</v>
      </c>
      <c r="F464" s="18" t="s">
        <v>4</v>
      </c>
      <c r="G464" t="s">
        <v>6</v>
      </c>
      <c r="H464" t="s">
        <v>3</v>
      </c>
      <c r="I464" s="18" t="s">
        <v>4</v>
      </c>
      <c r="J464" t="s">
        <v>6</v>
      </c>
      <c r="K464" t="s">
        <v>3</v>
      </c>
      <c r="L464" s="18" t="s">
        <v>4</v>
      </c>
      <c r="M464" t="s">
        <v>6</v>
      </c>
      <c r="N464" t="s">
        <v>3</v>
      </c>
      <c r="O464" s="18" t="s">
        <v>4</v>
      </c>
      <c r="P464" t="s">
        <v>6</v>
      </c>
    </row>
    <row r="465" spans="1:16">
      <c r="A465" s="4">
        <f t="shared" ref="A465:A478" si="209">+G465+J465+M465+P465</f>
        <v>107</v>
      </c>
      <c r="B465" t="s">
        <v>11</v>
      </c>
      <c r="C465" s="5">
        <v>7513142</v>
      </c>
      <c r="D465" s="6">
        <f t="shared" ref="D465:D476" si="210">+C465/C$479</f>
        <v>0.28674614011610311</v>
      </c>
      <c r="E465" s="20">
        <f t="shared" ref="E465:E470" si="211">+C465-H465-K465-N465</f>
        <v>5768701</v>
      </c>
      <c r="F465" s="12">
        <f>+E465/E$479</f>
        <v>0.30151734486235693</v>
      </c>
      <c r="G465" s="10">
        <v>83</v>
      </c>
      <c r="H465" s="23">
        <v>962257</v>
      </c>
      <c r="I465" s="12">
        <f>+H465/H$479</f>
        <v>0.23206134815749815</v>
      </c>
      <c r="J465" s="10">
        <v>14</v>
      </c>
      <c r="K465" s="19">
        <f>212665+66441+63304+185785</f>
        <v>528195</v>
      </c>
      <c r="L465" s="12">
        <f>+K465/K$479</f>
        <v>0.32087271887833207</v>
      </c>
      <c r="M465" s="10">
        <v>7</v>
      </c>
      <c r="N465" s="23">
        <f>39722+136547+77720</f>
        <v>253989</v>
      </c>
      <c r="O465" s="12">
        <f>+N465/N$479</f>
        <v>0.19898045519925545</v>
      </c>
      <c r="P465" s="10">
        <v>3</v>
      </c>
    </row>
    <row r="466" spans="1:16">
      <c r="A466" s="4">
        <f t="shared" si="209"/>
        <v>65</v>
      </c>
      <c r="B466" t="s">
        <v>241</v>
      </c>
      <c r="C466" s="5">
        <f>4373653+107619</f>
        <v>4481272</v>
      </c>
      <c r="D466" s="6">
        <f t="shared" si="210"/>
        <v>0.17103196622802677</v>
      </c>
      <c r="E466" s="24">
        <f t="shared" si="211"/>
        <v>3734090</v>
      </c>
      <c r="F466" s="12">
        <f>+E466/E$479</f>
        <v>0.19517269178573796</v>
      </c>
      <c r="G466" s="13">
        <v>54</v>
      </c>
      <c r="H466" s="24">
        <v>200841</v>
      </c>
      <c r="I466" s="12">
        <f t="shared" ref="I466:I473" si="212">+H466/H$479</f>
        <v>4.8435535647233623E-2</v>
      </c>
      <c r="J466" s="13">
        <v>3</v>
      </c>
      <c r="K466" s="24">
        <f>144290+67020+67191+172799</f>
        <v>451300</v>
      </c>
      <c r="L466" s="12">
        <f t="shared" ref="L466:L473" si="213">+K466/K$479</f>
        <v>0.27415984253881853</v>
      </c>
      <c r="M466" s="13">
        <v>6</v>
      </c>
      <c r="N466" s="11">
        <f>24385+49859+20797</f>
        <v>95041</v>
      </c>
      <c r="O466" s="12">
        <f t="shared" ref="O466:O474" si="214">+N466/N$479</f>
        <v>7.4457167210361219E-2</v>
      </c>
      <c r="P466" s="13">
        <v>2</v>
      </c>
    </row>
    <row r="467" spans="1:16">
      <c r="A467" s="4">
        <f t="shared" si="209"/>
        <v>58</v>
      </c>
      <c r="B467" t="s">
        <v>118</v>
      </c>
      <c r="C467" s="5">
        <v>4155665</v>
      </c>
      <c r="D467" s="6">
        <f t="shared" si="210"/>
        <v>0.1586048684246332</v>
      </c>
      <c r="E467" s="11">
        <f t="shared" si="211"/>
        <v>3451880</v>
      </c>
      <c r="F467" s="12">
        <f t="shared" ref="F467:F470" si="215">+E467/E$479</f>
        <v>0.18042219424849243</v>
      </c>
      <c r="G467" s="13">
        <v>49</v>
      </c>
      <c r="H467" s="24">
        <v>479374</v>
      </c>
      <c r="I467" s="12">
        <f t="shared" si="212"/>
        <v>0.11560755256823543</v>
      </c>
      <c r="J467" s="13">
        <v>7</v>
      </c>
      <c r="K467" s="11">
        <f>81677+17812+20689+63867</f>
        <v>184045</v>
      </c>
      <c r="L467" s="12">
        <f t="shared" si="213"/>
        <v>0.1118053361844823</v>
      </c>
      <c r="M467" s="13">
        <v>2</v>
      </c>
      <c r="N467" s="24">
        <f>7082+21392+11892</f>
        <v>40366</v>
      </c>
      <c r="O467" s="12">
        <f t="shared" si="214"/>
        <v>3.1623594150034628E-2</v>
      </c>
      <c r="P467" s="13"/>
    </row>
    <row r="468" spans="1:16">
      <c r="A468" s="4">
        <f t="shared" si="209"/>
        <v>52</v>
      </c>
      <c r="B468" t="s">
        <v>242</v>
      </c>
      <c r="C468" s="5">
        <v>3751145</v>
      </c>
      <c r="D468" s="6">
        <f t="shared" si="210"/>
        <v>0.14316598165798269</v>
      </c>
      <c r="E468" s="11">
        <f t="shared" si="211"/>
        <v>2672914</v>
      </c>
      <c r="F468" s="12">
        <f t="shared" si="215"/>
        <v>0.13970735046337501</v>
      </c>
      <c r="G468" s="13">
        <v>38</v>
      </c>
      <c r="H468" s="11">
        <v>615665</v>
      </c>
      <c r="I468" s="12">
        <f t="shared" si="212"/>
        <v>0.14847597878049845</v>
      </c>
      <c r="J468" s="13">
        <v>8</v>
      </c>
      <c r="K468" s="11">
        <v>238061</v>
      </c>
      <c r="L468" s="12">
        <f t="shared" si="213"/>
        <v>0.14461946881150828</v>
      </c>
      <c r="M468" s="13">
        <v>3</v>
      </c>
      <c r="N468" s="11">
        <f>31469+121740+71296</f>
        <v>224505</v>
      </c>
      <c r="O468" s="12">
        <f t="shared" si="214"/>
        <v>0.17588205431931636</v>
      </c>
      <c r="P468" s="13">
        <v>3</v>
      </c>
    </row>
    <row r="469" spans="1:16">
      <c r="A469" s="4">
        <f t="shared" si="209"/>
        <v>38</v>
      </c>
      <c r="B469" t="s">
        <v>207</v>
      </c>
      <c r="C469" s="5">
        <v>2688092</v>
      </c>
      <c r="D469" s="6">
        <f t="shared" si="210"/>
        <v>0.10259356275669697</v>
      </c>
      <c r="E469" s="11">
        <f t="shared" si="211"/>
        <v>2423971</v>
      </c>
      <c r="F469" s="12">
        <f t="shared" si="215"/>
        <v>0.12669564602903707</v>
      </c>
      <c r="G469" s="13">
        <v>35</v>
      </c>
      <c r="H469" s="11">
        <v>148844</v>
      </c>
      <c r="I469" s="12">
        <f t="shared" si="212"/>
        <v>3.5895752699283717E-2</v>
      </c>
      <c r="J469" s="13">
        <v>2</v>
      </c>
      <c r="K469" s="11">
        <f>27426+9984+11450+38187</f>
        <v>87047</v>
      </c>
      <c r="L469" s="12">
        <f t="shared" si="213"/>
        <v>5.2880105946103567E-2</v>
      </c>
      <c r="M469" s="13">
        <v>1</v>
      </c>
      <c r="N469" s="24">
        <f>5608+15839+6783</f>
        <v>28230</v>
      </c>
      <c r="O469" s="12">
        <f t="shared" si="214"/>
        <v>2.2115990260503333E-2</v>
      </c>
      <c r="P469" s="13"/>
    </row>
    <row r="470" spans="1:16">
      <c r="A470" s="4">
        <f t="shared" si="209"/>
        <v>14</v>
      </c>
      <c r="B470" t="s">
        <v>44</v>
      </c>
      <c r="C470" s="5">
        <v>1049819</v>
      </c>
      <c r="D470" s="6">
        <f t="shared" si="210"/>
        <v>4.006733082784103E-2</v>
      </c>
      <c r="E470" s="11">
        <f t="shared" si="211"/>
        <v>29427</v>
      </c>
      <c r="F470" s="12">
        <f t="shared" si="215"/>
        <v>1.5380847277861301E-3</v>
      </c>
      <c r="G470" s="13"/>
      <c r="H470" s="20">
        <v>1020392</v>
      </c>
      <c r="I470" s="12">
        <f t="shared" si="212"/>
        <v>0.24608139319238609</v>
      </c>
      <c r="J470" s="13">
        <v>14</v>
      </c>
      <c r="K470" s="11"/>
      <c r="L470" s="12">
        <f t="shared" si="213"/>
        <v>0</v>
      </c>
      <c r="M470" s="13"/>
      <c r="N470" s="24"/>
      <c r="O470" s="12"/>
      <c r="P470" s="13"/>
    </row>
    <row r="471" spans="1:16">
      <c r="A471" s="4">
        <f t="shared" si="209"/>
        <v>7</v>
      </c>
      <c r="B471" t="s">
        <v>232</v>
      </c>
      <c r="C471" s="5">
        <v>500787</v>
      </c>
      <c r="D471" s="6">
        <f t="shared" si="210"/>
        <v>1.9113007483463364E-2</v>
      </c>
      <c r="E471" s="11"/>
      <c r="F471" s="12"/>
      <c r="G471" s="13"/>
      <c r="H471" s="11">
        <v>500787</v>
      </c>
      <c r="I471" s="12">
        <f t="shared" si="212"/>
        <v>0.12077158842154334</v>
      </c>
      <c r="J471" s="13">
        <v>7</v>
      </c>
      <c r="K471" s="11"/>
      <c r="L471" s="12">
        <f t="shared" si="213"/>
        <v>0</v>
      </c>
      <c r="M471" s="13"/>
      <c r="N471" s="24"/>
      <c r="O471" s="12"/>
      <c r="P471" s="13"/>
    </row>
    <row r="472" spans="1:16">
      <c r="A472" s="4">
        <f t="shared" si="209"/>
        <v>5</v>
      </c>
      <c r="B472" t="s">
        <v>15</v>
      </c>
      <c r="C472" s="5">
        <f>395884+22309</f>
        <v>418193</v>
      </c>
      <c r="D472" s="6">
        <f t="shared" si="210"/>
        <v>1.5960729688534236E-2</v>
      </c>
      <c r="E472" s="11">
        <f t="shared" ref="E472:E473" si="216">+C472-H472-K472-N472</f>
        <v>22309</v>
      </c>
      <c r="F472" s="12">
        <f t="shared" ref="F472:F476" si="217">+E472/E$479</f>
        <v>1.1660424845271614E-3</v>
      </c>
      <c r="G472" s="13"/>
      <c r="H472" s="11"/>
      <c r="I472" s="12"/>
      <c r="J472" s="13"/>
      <c r="K472" s="11"/>
      <c r="L472" s="12"/>
      <c r="M472" s="13"/>
      <c r="N472" s="20">
        <v>395884</v>
      </c>
      <c r="O472" s="12">
        <f t="shared" si="214"/>
        <v>0.31014405555398872</v>
      </c>
      <c r="P472" s="13">
        <v>5</v>
      </c>
    </row>
    <row r="473" spans="1:16">
      <c r="A473" s="4">
        <f t="shared" si="209"/>
        <v>0</v>
      </c>
      <c r="B473" t="s">
        <v>129</v>
      </c>
      <c r="C473" s="5">
        <v>328299</v>
      </c>
      <c r="D473" s="6">
        <f t="shared" si="210"/>
        <v>1.2529840518650722E-2</v>
      </c>
      <c r="E473" s="11">
        <f t="shared" si="216"/>
        <v>235874</v>
      </c>
      <c r="F473" s="12">
        <f t="shared" si="217"/>
        <v>1.2328616477446755E-2</v>
      </c>
      <c r="G473" s="13"/>
      <c r="H473" s="11">
        <v>63985</v>
      </c>
      <c r="I473" s="12">
        <f t="shared" si="212"/>
        <v>1.5430852009242354E-2</v>
      </c>
      <c r="J473" s="13"/>
      <c r="K473" s="11">
        <f>7176+1602+1576+6859</f>
        <v>17213</v>
      </c>
      <c r="L473" s="12">
        <f t="shared" si="213"/>
        <v>1.0456710324885184E-2</v>
      </c>
      <c r="M473" s="13"/>
      <c r="N473" s="11">
        <f>1869+6187+3171</f>
        <v>11227</v>
      </c>
      <c r="O473" s="12">
        <f t="shared" si="214"/>
        <v>8.7954737036723667E-3</v>
      </c>
      <c r="P473" s="13"/>
    </row>
    <row r="474" spans="1:16">
      <c r="A474" s="4">
        <f t="shared" si="209"/>
        <v>3</v>
      </c>
      <c r="B474" t="s">
        <v>218</v>
      </c>
      <c r="C474" s="5">
        <v>259647</v>
      </c>
      <c r="D474" s="6">
        <f t="shared" si="210"/>
        <v>9.9096722839426988E-3</v>
      </c>
      <c r="E474" s="11">
        <f>+C474-H474-K474-N474</f>
        <v>46765</v>
      </c>
      <c r="F474" s="12">
        <f t="shared" si="217"/>
        <v>2.4443039485818594E-3</v>
      </c>
      <c r="G474" s="13"/>
      <c r="H474" s="11"/>
      <c r="I474" s="12"/>
      <c r="J474" s="13"/>
      <c r="K474" s="11"/>
      <c r="L474" s="12"/>
      <c r="M474" s="13"/>
      <c r="N474" s="11">
        <f>259647-46765</f>
        <v>212882</v>
      </c>
      <c r="O474" s="12">
        <f t="shared" si="214"/>
        <v>0.16677634568319061</v>
      </c>
      <c r="P474" s="13">
        <v>3</v>
      </c>
    </row>
    <row r="475" spans="1:16">
      <c r="A475" s="4">
        <f t="shared" si="209"/>
        <v>0</v>
      </c>
      <c r="B475" t="s">
        <v>243</v>
      </c>
      <c r="C475" s="5">
        <v>173821</v>
      </c>
      <c r="D475" s="6">
        <f t="shared" si="210"/>
        <v>6.6340421651981491E-3</v>
      </c>
      <c r="E475" s="11">
        <f>+C475-H475-K475-N475</f>
        <v>173821</v>
      </c>
      <c r="F475" s="12">
        <f t="shared" si="217"/>
        <v>9.0852423104126456E-3</v>
      </c>
      <c r="G475" s="13"/>
      <c r="H475" s="11"/>
      <c r="I475" s="12"/>
      <c r="J475" s="13"/>
      <c r="K475" s="11"/>
      <c r="L475" s="12"/>
      <c r="M475" s="13"/>
      <c r="N475" s="11"/>
      <c r="O475" s="12"/>
      <c r="P475" s="13"/>
    </row>
    <row r="476" spans="1:16">
      <c r="A476" s="4">
        <f t="shared" si="209"/>
        <v>0</v>
      </c>
      <c r="B476" t="s">
        <v>244</v>
      </c>
      <c r="C476" s="5">
        <v>137664</v>
      </c>
      <c r="D476" s="6">
        <f t="shared" si="210"/>
        <v>5.2540762084548939E-3</v>
      </c>
      <c r="E476" s="11">
        <f>+C476-H476-K476-N476</f>
        <v>137664</v>
      </c>
      <c r="F476" s="12">
        <f t="shared" si="217"/>
        <v>7.1953952481037765E-3</v>
      </c>
      <c r="G476" s="13"/>
      <c r="H476" s="11"/>
      <c r="I476" s="12"/>
      <c r="J476" s="13"/>
      <c r="K476" s="11"/>
      <c r="L476" s="12"/>
      <c r="M476" s="13"/>
      <c r="N476" s="11"/>
      <c r="O476" s="12"/>
      <c r="P476" s="13"/>
    </row>
    <row r="477" spans="1:16">
      <c r="A477" s="4">
        <f t="shared" si="209"/>
        <v>0</v>
      </c>
      <c r="B477" t="s">
        <v>245</v>
      </c>
      <c r="C477" s="5">
        <v>113807</v>
      </c>
      <c r="D477" s="6">
        <f>+C477/C$479</f>
        <v>4.343551335538892E-3</v>
      </c>
      <c r="E477" s="21"/>
      <c r="F477" s="12"/>
      <c r="G477" s="31"/>
      <c r="H477" s="11">
        <v>113807</v>
      </c>
      <c r="I477" s="12">
        <f t="shared" ref="I477" si="218">+H477/H$479</f>
        <v>2.7446104159034843E-2</v>
      </c>
      <c r="J477" s="31"/>
      <c r="K477" s="11"/>
      <c r="L477" s="12"/>
      <c r="M477" s="31"/>
      <c r="N477" s="21"/>
      <c r="O477" s="12"/>
      <c r="P477" s="13"/>
    </row>
    <row r="478" spans="1:16">
      <c r="A478" s="4">
        <f t="shared" si="209"/>
        <v>1</v>
      </c>
      <c r="B478" t="s">
        <v>58</v>
      </c>
      <c r="C478" s="5">
        <v>94433</v>
      </c>
      <c r="D478" s="6">
        <f t="shared" ref="D478" si="219">+C478/C$479</f>
        <v>3.6041243795983044E-3</v>
      </c>
      <c r="E478" s="14"/>
      <c r="F478" s="15"/>
      <c r="G478" s="16"/>
      <c r="H478" s="14"/>
      <c r="I478" s="15"/>
      <c r="J478" s="16"/>
      <c r="K478" s="14">
        <v>94433</v>
      </c>
      <c r="L478" s="15">
        <f>+K478/K$479</f>
        <v>5.7367020630330716E-2</v>
      </c>
      <c r="M478" s="16">
        <v>1</v>
      </c>
      <c r="N478" s="14"/>
      <c r="O478" s="15"/>
      <c r="P478" s="16"/>
    </row>
    <row r="479" spans="1:16">
      <c r="A479" s="2">
        <f>SUM(A465:A478)</f>
        <v>350</v>
      </c>
      <c r="C479" s="3">
        <v>26201371</v>
      </c>
      <c r="D479" s="22"/>
      <c r="E479" s="21">
        <f t="shared" ref="E479" si="220">+C479-H479-K479-N479</f>
        <v>19132236</v>
      </c>
      <c r="G479" s="28">
        <f>SUM(G465:G478)</f>
        <v>259</v>
      </c>
      <c r="H479" s="3">
        <v>4146563</v>
      </c>
      <c r="J479" s="28">
        <f>SUM(J465:J478)</f>
        <v>55</v>
      </c>
      <c r="K479" s="3">
        <f>677342+199998+192593+576187</f>
        <v>1646120</v>
      </c>
      <c r="M479" s="28">
        <f>SUM(M465:M478)</f>
        <v>20</v>
      </c>
      <c r="N479" s="3">
        <f>686960+177366+412126</f>
        <v>1276452</v>
      </c>
      <c r="P479" s="28">
        <f>SUM(P465:P478)</f>
        <v>16</v>
      </c>
    </row>
    <row r="480" spans="1:16">
      <c r="B480" t="s">
        <v>222</v>
      </c>
      <c r="D480" s="22"/>
      <c r="E480" s="21"/>
    </row>
    <row r="483" spans="1:16">
      <c r="A483" s="7" t="s">
        <v>239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>
      <c r="C484" t="s">
        <v>2</v>
      </c>
      <c r="E484" t="s">
        <v>5</v>
      </c>
      <c r="H484" t="s">
        <v>7</v>
      </c>
      <c r="K484" t="s">
        <v>8</v>
      </c>
      <c r="N484" t="s">
        <v>9</v>
      </c>
    </row>
    <row r="485" spans="1:16">
      <c r="A485" t="s">
        <v>6</v>
      </c>
      <c r="C485" t="s">
        <v>3</v>
      </c>
      <c r="D485" t="s">
        <v>4</v>
      </c>
      <c r="E485" s="18" t="s">
        <v>3</v>
      </c>
      <c r="F485" s="18" t="s">
        <v>4</v>
      </c>
      <c r="G485" t="s">
        <v>6</v>
      </c>
      <c r="H485" t="s">
        <v>3</v>
      </c>
      <c r="I485" s="18" t="s">
        <v>4</v>
      </c>
      <c r="J485" t="s">
        <v>6</v>
      </c>
      <c r="K485" t="s">
        <v>3</v>
      </c>
      <c r="L485" s="18" t="s">
        <v>4</v>
      </c>
      <c r="M485" t="s">
        <v>6</v>
      </c>
      <c r="N485" t="s">
        <v>3</v>
      </c>
      <c r="O485" s="18" t="s">
        <v>4</v>
      </c>
      <c r="P485" t="s">
        <v>6</v>
      </c>
    </row>
    <row r="486" spans="1:16">
      <c r="A486" s="4">
        <f t="shared" ref="A486:A499" si="221">+G486+J486+M486+P486</f>
        <v>106</v>
      </c>
      <c r="B486" t="s">
        <v>11</v>
      </c>
      <c r="C486" s="5">
        <v>6792199</v>
      </c>
      <c r="D486" s="6">
        <f t="shared" ref="D486:D497" si="222">+C486/C$500</f>
        <v>0.27999567816742427</v>
      </c>
      <c r="E486" s="20">
        <f t="shared" ref="E486:E492" si="223">+C486-H486-K486-N486</f>
        <v>5356352</v>
      </c>
      <c r="F486" s="12">
        <f t="shared" ref="F486" si="224">+E486/E$500</f>
        <v>0.3024503759319529</v>
      </c>
      <c r="G486" s="10">
        <v>85</v>
      </c>
      <c r="H486" s="23">
        <v>794666</v>
      </c>
      <c r="I486" s="12">
        <f t="shared" ref="I486" si="225">+H486/H$500</f>
        <v>0.20500991684708242</v>
      </c>
      <c r="J486" s="10">
        <v>12</v>
      </c>
      <c r="K486" s="23">
        <f>184178+57537+5693+166377</f>
        <v>413785</v>
      </c>
      <c r="L486" s="12">
        <f t="shared" ref="L486" si="226">+K486/K$500</f>
        <v>0.27806132220330931</v>
      </c>
      <c r="M486" s="10">
        <v>6</v>
      </c>
      <c r="N486" s="23">
        <f>37488+120566+69342</f>
        <v>227396</v>
      </c>
      <c r="O486" s="12">
        <f t="shared" ref="O486" si="227">+N486/N$500</f>
        <v>0.1920517552268303</v>
      </c>
      <c r="P486" s="10">
        <v>3</v>
      </c>
    </row>
    <row r="487" spans="1:16">
      <c r="A487" s="4">
        <f t="shared" si="221"/>
        <v>80</v>
      </c>
      <c r="B487" t="s">
        <v>251</v>
      </c>
      <c r="C487" s="5">
        <f>5047040+99078</f>
        <v>5146118</v>
      </c>
      <c r="D487" s="6">
        <f t="shared" si="222"/>
        <v>0.21213907297763052</v>
      </c>
      <c r="E487" s="24">
        <f t="shared" si="223"/>
        <v>4278460</v>
      </c>
      <c r="F487" s="12">
        <f>+E487/E$500</f>
        <v>0.24158640720584146</v>
      </c>
      <c r="G487" s="13">
        <v>68</v>
      </c>
      <c r="H487" s="24">
        <v>287714</v>
      </c>
      <c r="I487" s="12">
        <f>+H487/H$500</f>
        <v>7.4225175376499655E-2</v>
      </c>
      <c r="J487" s="13">
        <v>4</v>
      </c>
      <c r="K487" s="20">
        <f>187127+68530+67580+151961</f>
        <v>475198</v>
      </c>
      <c r="L487" s="12">
        <f>+K487/K$500</f>
        <v>0.31933053201147499</v>
      </c>
      <c r="M487" s="13">
        <v>7</v>
      </c>
      <c r="N487" s="11">
        <f>25506+55621+23619</f>
        <v>104746</v>
      </c>
      <c r="O487" s="39">
        <f>+N487/N$500</f>
        <v>8.8465290299695534E-2</v>
      </c>
      <c r="P487" s="13">
        <v>1</v>
      </c>
    </row>
    <row r="488" spans="1:16">
      <c r="A488" s="4">
        <f t="shared" si="221"/>
        <v>55</v>
      </c>
      <c r="B488" t="s">
        <v>207</v>
      </c>
      <c r="C488" s="5">
        <v>3656975</v>
      </c>
      <c r="D488" s="6">
        <f t="shared" si="222"/>
        <v>0.1507519428047259</v>
      </c>
      <c r="E488" s="11">
        <f t="shared" si="223"/>
        <v>3267975</v>
      </c>
      <c r="F488" s="12">
        <f t="shared" ref="F488:F498" si="228">+E488/E$500</f>
        <v>0.18452862457251201</v>
      </c>
      <c r="G488" s="13">
        <v>51</v>
      </c>
      <c r="H488" s="24">
        <v>243640</v>
      </c>
      <c r="I488" s="12">
        <f t="shared" ref="I488:I497" si="229">+H488/H$500</f>
        <v>6.2854854920964487E-2</v>
      </c>
      <c r="J488" s="13">
        <v>3</v>
      </c>
      <c r="K488" s="11">
        <f>50325+14652+13285+38119</f>
        <v>116381</v>
      </c>
      <c r="L488" s="12">
        <f t="shared" ref="L488:L499" si="230">+K488/K$500</f>
        <v>7.8207413848600943E-2</v>
      </c>
      <c r="M488" s="13">
        <v>1</v>
      </c>
      <c r="N488" s="24">
        <f>6421+15284+7274</f>
        <v>28979</v>
      </c>
      <c r="O488" s="12">
        <f t="shared" ref="O488:O497" si="231">+N488/N$500</f>
        <v>2.4474783262319104E-2</v>
      </c>
      <c r="P488" s="13"/>
    </row>
    <row r="489" spans="1:16">
      <c r="A489" s="4">
        <f t="shared" si="221"/>
        <v>48</v>
      </c>
      <c r="B489" t="s">
        <v>246</v>
      </c>
      <c r="C489" s="5">
        <v>3119364</v>
      </c>
      <c r="D489" s="6">
        <f t="shared" si="222"/>
        <v>0.12858993657739551</v>
      </c>
      <c r="E489" s="11">
        <f t="shared" si="223"/>
        <v>2199286</v>
      </c>
      <c r="F489" s="12">
        <f t="shared" si="228"/>
        <v>0.12418431004569547</v>
      </c>
      <c r="G489" s="13">
        <v>34</v>
      </c>
      <c r="H489" s="11">
        <v>549173</v>
      </c>
      <c r="I489" s="12">
        <f t="shared" si="229"/>
        <v>0.14167702036410618</v>
      </c>
      <c r="J489" s="13">
        <v>8</v>
      </c>
      <c r="K489" s="11">
        <v>188231</v>
      </c>
      <c r="L489" s="12">
        <f t="shared" si="230"/>
        <v>0.12649023222120453</v>
      </c>
      <c r="M489" s="13">
        <v>3</v>
      </c>
      <c r="N489" s="11">
        <f>28186+97125+57363</f>
        <v>182674</v>
      </c>
      <c r="O489" s="12">
        <f t="shared" si="231"/>
        <v>0.15428091230411264</v>
      </c>
      <c r="P489" s="13">
        <v>3</v>
      </c>
    </row>
    <row r="490" spans="1:16">
      <c r="A490" s="4">
        <f t="shared" si="221"/>
        <v>25</v>
      </c>
      <c r="B490" t="s">
        <v>118</v>
      </c>
      <c r="C490" s="5">
        <v>1650318</v>
      </c>
      <c r="D490" s="6">
        <f t="shared" si="222"/>
        <v>6.803126757651054E-2</v>
      </c>
      <c r="E490" s="11">
        <f t="shared" si="223"/>
        <v>1354443</v>
      </c>
      <c r="F490" s="12">
        <f t="shared" si="228"/>
        <v>7.6479625410802374E-2</v>
      </c>
      <c r="G490" s="13">
        <v>21</v>
      </c>
      <c r="H490" s="11">
        <v>217935</v>
      </c>
      <c r="I490" s="12">
        <f t="shared" si="229"/>
        <v>5.6223414903958276E-2</v>
      </c>
      <c r="J490" s="13">
        <v>3</v>
      </c>
      <c r="K490" s="11">
        <v>64661</v>
      </c>
      <c r="L490" s="12">
        <f t="shared" si="230"/>
        <v>4.3451848556589005E-2</v>
      </c>
      <c r="M490" s="13">
        <v>1</v>
      </c>
      <c r="N490" s="24">
        <f>2526+6929+3824</f>
        <v>13279</v>
      </c>
      <c r="O490" s="12">
        <f t="shared" si="231"/>
        <v>1.121504009594311E-2</v>
      </c>
      <c r="P490" s="13"/>
    </row>
    <row r="491" spans="1:16">
      <c r="A491" s="4">
        <f t="shared" si="221"/>
        <v>14</v>
      </c>
      <c r="B491" t="s">
        <v>247</v>
      </c>
      <c r="C491" s="5">
        <v>899029</v>
      </c>
      <c r="D491" s="6">
        <f t="shared" si="222"/>
        <v>3.7060786138212572E-2</v>
      </c>
      <c r="E491" s="11">
        <f t="shared" si="223"/>
        <v>24170</v>
      </c>
      <c r="F491" s="12">
        <f t="shared" si="228"/>
        <v>1.3647769202388682E-3</v>
      </c>
      <c r="G491" s="13"/>
      <c r="H491" s="20">
        <v>874859</v>
      </c>
      <c r="I491" s="12">
        <f>+H491/H$500</f>
        <v>0.22569830701567914</v>
      </c>
      <c r="J491" s="13">
        <v>14</v>
      </c>
      <c r="K491" s="11"/>
      <c r="L491" s="12"/>
      <c r="M491" s="13"/>
      <c r="N491" s="24"/>
      <c r="O491" s="12"/>
      <c r="P491" s="13"/>
    </row>
    <row r="492" spans="1:16">
      <c r="A492" s="4">
        <f t="shared" si="221"/>
        <v>0</v>
      </c>
      <c r="B492" t="s">
        <v>248</v>
      </c>
      <c r="C492" s="5">
        <v>584306</v>
      </c>
      <c r="D492" s="6">
        <f t="shared" si="222"/>
        <v>2.4086920116341556E-2</v>
      </c>
      <c r="E492" s="11">
        <f t="shared" si="223"/>
        <v>511112</v>
      </c>
      <c r="F492" s="12">
        <f t="shared" si="228"/>
        <v>2.886031697381582E-2</v>
      </c>
      <c r="G492" s="13"/>
      <c r="H492" s="11">
        <v>41826</v>
      </c>
      <c r="I492" s="12">
        <f t="shared" si="229"/>
        <v>1.0790375808259155E-2</v>
      </c>
      <c r="J492" s="13"/>
      <c r="K492" s="11">
        <f>12619+10207</f>
        <v>22826</v>
      </c>
      <c r="L492" s="12">
        <f t="shared" si="230"/>
        <v>1.5338950760933185E-2</v>
      </c>
      <c r="M492" s="13"/>
      <c r="N492" s="24">
        <v>8542</v>
      </c>
      <c r="O492" s="12">
        <f t="shared" si="231"/>
        <v>7.2143137660626586E-3</v>
      </c>
      <c r="P492" s="13"/>
    </row>
    <row r="493" spans="1:16">
      <c r="A493" s="4">
        <f t="shared" si="221"/>
        <v>8</v>
      </c>
      <c r="B493" t="s">
        <v>232</v>
      </c>
      <c r="C493" s="5">
        <v>530225</v>
      </c>
      <c r="D493" s="6">
        <f t="shared" si="222"/>
        <v>2.1857532215461078E-2</v>
      </c>
      <c r="E493" s="11"/>
      <c r="F493" s="12"/>
      <c r="G493" s="13"/>
      <c r="H493" s="11">
        <v>530225</v>
      </c>
      <c r="I493" s="12">
        <f t="shared" si="229"/>
        <v>0.13678876806135443</v>
      </c>
      <c r="J493" s="13">
        <v>8</v>
      </c>
      <c r="K493" s="11"/>
      <c r="L493" s="12"/>
      <c r="M493" s="13"/>
      <c r="N493" s="11"/>
      <c r="O493" s="12"/>
      <c r="P493" s="13"/>
    </row>
    <row r="494" spans="1:16">
      <c r="A494" s="4">
        <f t="shared" si="221"/>
        <v>6</v>
      </c>
      <c r="B494" t="s">
        <v>15</v>
      </c>
      <c r="C494" s="5">
        <f>379002+12709</f>
        <v>391711</v>
      </c>
      <c r="D494" s="6">
        <f t="shared" si="222"/>
        <v>1.6147552080061248E-2</v>
      </c>
      <c r="E494" s="11">
        <v>12709</v>
      </c>
      <c r="F494" s="12">
        <f t="shared" si="228"/>
        <v>7.1762308147769029E-4</v>
      </c>
      <c r="G494" s="13"/>
      <c r="H494" s="11"/>
      <c r="I494" s="12"/>
      <c r="J494" s="13"/>
      <c r="K494" s="11"/>
      <c r="L494" s="12"/>
      <c r="M494" s="13"/>
      <c r="N494" s="20">
        <v>379002</v>
      </c>
      <c r="O494" s="12">
        <f t="shared" si="231"/>
        <v>0.32009357831483021</v>
      </c>
      <c r="P494" s="13">
        <v>6</v>
      </c>
    </row>
    <row r="495" spans="1:16">
      <c r="A495" s="4">
        <f t="shared" si="221"/>
        <v>3</v>
      </c>
      <c r="B495" t="s">
        <v>218</v>
      </c>
      <c r="C495" s="5">
        <v>277621</v>
      </c>
      <c r="D495" s="6">
        <f t="shared" si="222"/>
        <v>1.1444405584777256E-2</v>
      </c>
      <c r="E495" s="11">
        <f>+C495-H495-K495-N495</f>
        <v>56548</v>
      </c>
      <c r="F495" s="12">
        <f t="shared" si="228"/>
        <v>3.1930246291132611E-3</v>
      </c>
      <c r="G495" s="13"/>
      <c r="H495" s="11"/>
      <c r="I495" s="12"/>
      <c r="J495" s="13"/>
      <c r="K495" s="11"/>
      <c r="L495" s="12"/>
      <c r="M495" s="13"/>
      <c r="N495" s="11">
        <f>27453+94669+98951</f>
        <v>221073</v>
      </c>
      <c r="O495" s="12">
        <f t="shared" si="231"/>
        <v>0.18671154146625732</v>
      </c>
      <c r="P495" s="13">
        <v>3</v>
      </c>
    </row>
    <row r="496" spans="1:16">
      <c r="A496" s="4">
        <f t="shared" si="221"/>
        <v>3</v>
      </c>
      <c r="B496" t="s">
        <v>249</v>
      </c>
      <c r="C496" s="5">
        <v>246971</v>
      </c>
      <c r="D496" s="6">
        <f t="shared" si="222"/>
        <v>1.0180916759459924E-2</v>
      </c>
      <c r="E496" s="11"/>
      <c r="F496" s="12"/>
      <c r="G496" s="13"/>
      <c r="H496" s="11">
        <v>246971</v>
      </c>
      <c r="I496" s="12">
        <f t="shared" si="229"/>
        <v>6.3714194609610572E-2</v>
      </c>
      <c r="J496" s="13">
        <v>3</v>
      </c>
      <c r="K496" s="11"/>
      <c r="L496" s="12"/>
      <c r="M496" s="13"/>
      <c r="N496" s="11"/>
      <c r="O496" s="12"/>
      <c r="P496" s="13"/>
    </row>
    <row r="497" spans="1:16">
      <c r="A497" s="4">
        <f t="shared" si="221"/>
        <v>0</v>
      </c>
      <c r="B497" t="s">
        <v>129</v>
      </c>
      <c r="C497" s="5">
        <v>228856</v>
      </c>
      <c r="D497" s="6">
        <f t="shared" si="222"/>
        <v>9.4341598240399085E-3</v>
      </c>
      <c r="E497" s="11">
        <f>+C497-H497-K497-N497</f>
        <v>165791</v>
      </c>
      <c r="F497" s="12">
        <f t="shared" si="228"/>
        <v>9.3615113936004208E-3</v>
      </c>
      <c r="G497" s="13"/>
      <c r="H497" s="11">
        <v>44585</v>
      </c>
      <c r="I497" s="12">
        <f t="shared" si="229"/>
        <v>1.1502149510142839E-2</v>
      </c>
      <c r="J497" s="13"/>
      <c r="K497" s="11">
        <f>4572+1190+1094+4619</f>
        <v>11475</v>
      </c>
      <c r="L497" s="12">
        <f t="shared" si="230"/>
        <v>7.7111390511569395E-3</v>
      </c>
      <c r="M497" s="13"/>
      <c r="N497" s="11">
        <f>3222+3783</f>
        <v>7005</v>
      </c>
      <c r="O497" s="12">
        <f t="shared" si="231"/>
        <v>5.9162102471633018E-3</v>
      </c>
      <c r="P497" s="13"/>
    </row>
    <row r="498" spans="1:16">
      <c r="A498" s="4">
        <f t="shared" si="221"/>
        <v>0</v>
      </c>
      <c r="B498" t="s">
        <v>250</v>
      </c>
      <c r="C498" s="5">
        <v>124289</v>
      </c>
      <c r="D498" s="6">
        <f>+C498/C$500</f>
        <v>5.1235811618227023E-3</v>
      </c>
      <c r="E498" s="11">
        <f>+C498-H498-K498-N498</f>
        <v>124289</v>
      </c>
      <c r="F498" s="12">
        <f t="shared" si="228"/>
        <v>7.0180702788402438E-3</v>
      </c>
      <c r="G498" s="31"/>
      <c r="H498" s="11"/>
      <c r="I498" s="12"/>
      <c r="J498" s="31"/>
      <c r="K498" s="11"/>
      <c r="L498" s="12"/>
      <c r="M498" s="31"/>
      <c r="N498" s="21"/>
      <c r="O498" s="12"/>
      <c r="P498" s="13"/>
    </row>
    <row r="499" spans="1:16">
      <c r="A499" s="4">
        <f t="shared" si="221"/>
        <v>2</v>
      </c>
      <c r="B499" t="s">
        <v>58</v>
      </c>
      <c r="C499" s="5">
        <v>120456</v>
      </c>
      <c r="D499" s="6">
        <f t="shared" ref="D499:D500" si="232">+C499/C$500</f>
        <v>4.9655729181867694E-3</v>
      </c>
      <c r="E499" s="14"/>
      <c r="F499" s="15"/>
      <c r="G499" s="16"/>
      <c r="H499" s="14"/>
      <c r="I499" s="15"/>
      <c r="J499" s="16"/>
      <c r="K499" s="14">
        <v>120456</v>
      </c>
      <c r="L499" s="15">
        <f t="shared" si="230"/>
        <v>8.0945792204458411E-2</v>
      </c>
      <c r="M499" s="16">
        <v>2</v>
      </c>
      <c r="N499" s="14"/>
      <c r="O499" s="15"/>
      <c r="P499" s="16"/>
    </row>
    <row r="500" spans="1:16">
      <c r="A500" s="2">
        <f>SUM(A486:A499)</f>
        <v>350</v>
      </c>
      <c r="C500" s="3">
        <v>24258228</v>
      </c>
      <c r="D500" s="38">
        <f t="shared" si="232"/>
        <v>1</v>
      </c>
      <c r="E500" s="21">
        <f t="shared" ref="E500" si="233">+C500-H500-K500-N500</f>
        <v>17709854</v>
      </c>
      <c r="G500" s="28">
        <f>SUM(G486:G499)</f>
        <v>259</v>
      </c>
      <c r="H500" s="3">
        <v>3876232</v>
      </c>
      <c r="J500" s="28">
        <f>SUM(J486:J499)</f>
        <v>55</v>
      </c>
      <c r="K500" s="3">
        <f>613494+180145+171471+522997</f>
        <v>1488107</v>
      </c>
      <c r="M500" s="28">
        <f>SUM(M486:M499)</f>
        <v>20</v>
      </c>
      <c r="N500" s="3">
        <f>170855+382868+630312</f>
        <v>1184035</v>
      </c>
      <c r="P500" s="28">
        <f>SUM(P486:P499)</f>
        <v>16</v>
      </c>
    </row>
    <row r="503" spans="1:16">
      <c r="A503" s="7" t="s">
        <v>252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>
      <c r="C504" t="s">
        <v>2</v>
      </c>
      <c r="E504" t="s">
        <v>5</v>
      </c>
      <c r="H504" t="s">
        <v>7</v>
      </c>
      <c r="K504" t="s">
        <v>8</v>
      </c>
      <c r="N504" t="s">
        <v>9</v>
      </c>
    </row>
    <row r="505" spans="1:16">
      <c r="A505" t="s">
        <v>6</v>
      </c>
      <c r="C505" t="s">
        <v>3</v>
      </c>
      <c r="D505" t="s">
        <v>4</v>
      </c>
      <c r="E505" s="18" t="s">
        <v>3</v>
      </c>
      <c r="F505" s="18" t="s">
        <v>4</v>
      </c>
      <c r="G505" t="s">
        <v>6</v>
      </c>
      <c r="H505" t="s">
        <v>3</v>
      </c>
      <c r="I505" s="18" t="s">
        <v>4</v>
      </c>
      <c r="J505" t="s">
        <v>6</v>
      </c>
      <c r="K505" t="s">
        <v>3</v>
      </c>
      <c r="L505" s="18" t="s">
        <v>4</v>
      </c>
      <c r="M505" t="s">
        <v>6</v>
      </c>
      <c r="N505" t="s">
        <v>3</v>
      </c>
      <c r="O505" s="18" t="s">
        <v>4</v>
      </c>
      <c r="P505" t="s">
        <v>6</v>
      </c>
    </row>
    <row r="506" spans="1:16">
      <c r="A506" s="4">
        <f t="shared" ref="A506:A519" si="234">+G506+J506+M506+P506</f>
        <v>120</v>
      </c>
      <c r="B506" t="s">
        <v>253</v>
      </c>
      <c r="C506" s="5">
        <v>8160837</v>
      </c>
      <c r="D506" s="6">
        <f>+C506/C$520</f>
        <v>0.3305576896257697</v>
      </c>
      <c r="E506" s="20">
        <f t="shared" ref="E506:E512" si="235">+C506-H506-K506-N506</f>
        <v>6840870</v>
      </c>
      <c r="F506" s="12">
        <f t="shared" ref="F506:F509" si="236">+E506/E$520</f>
        <v>0.37271873655263976</v>
      </c>
      <c r="G506" s="10">
        <v>101</v>
      </c>
      <c r="H506" s="23">
        <v>473620</v>
      </c>
      <c r="I506" s="12">
        <f>+H506/H$520</f>
        <v>0.13367658012395608</v>
      </c>
      <c r="J506" s="10">
        <v>8</v>
      </c>
      <c r="K506" s="19">
        <f>292272+99769+93182+227658</f>
        <v>712881</v>
      </c>
      <c r="L506" s="12">
        <f t="shared" ref="L506" si="237">+K506/K$520</f>
        <v>0.43583611049464344</v>
      </c>
      <c r="M506" s="10">
        <v>9</v>
      </c>
      <c r="N506" s="23">
        <f>70533+32721+30212</f>
        <v>133466</v>
      </c>
      <c r="O506" s="12">
        <f>+N506/N$520</f>
        <v>0.11551287366250051</v>
      </c>
      <c r="P506" s="10">
        <v>2</v>
      </c>
    </row>
    <row r="507" spans="1:16">
      <c r="A507" s="4">
        <f t="shared" si="234"/>
        <v>117</v>
      </c>
      <c r="B507" t="s">
        <v>11</v>
      </c>
      <c r="C507" s="5">
        <v>7821718</v>
      </c>
      <c r="D507" s="6">
        <f t="shared" ref="D507:D519" si="238">+C507/C$520</f>
        <v>0.31682155041012289</v>
      </c>
      <c r="E507" s="24">
        <f t="shared" si="235"/>
        <v>5821599</v>
      </c>
      <c r="F507" s="12">
        <f t="shared" si="236"/>
        <v>0.31718465984532834</v>
      </c>
      <c r="G507" s="13">
        <v>86</v>
      </c>
      <c r="H507" s="20">
        <v>1221335</v>
      </c>
      <c r="I507" s="12">
        <f t="shared" ref="I507:I519" si="239">+H507/H$520</f>
        <v>0.34471493177165641</v>
      </c>
      <c r="J507" s="13">
        <v>21</v>
      </c>
      <c r="K507" s="24">
        <f>190897+60183+56035+179737</f>
        <v>486852</v>
      </c>
      <c r="L507" s="12">
        <f>+K507/K$520</f>
        <v>0.29764810966562183</v>
      </c>
      <c r="M507" s="13">
        <v>6</v>
      </c>
      <c r="N507" s="20">
        <f>157448+87709+46775</f>
        <v>291932</v>
      </c>
      <c r="O507" s="12">
        <f t="shared" ref="O507:O519" si="240">+N507/N$520</f>
        <v>0.25266288218753163</v>
      </c>
      <c r="P507" s="13">
        <v>4</v>
      </c>
    </row>
    <row r="508" spans="1:16">
      <c r="A508" s="4">
        <f t="shared" si="234"/>
        <v>44</v>
      </c>
      <c r="B508" t="s">
        <v>207</v>
      </c>
      <c r="C508" s="5">
        <v>3057000</v>
      </c>
      <c r="D508" s="6">
        <f t="shared" si="238"/>
        <v>0.12382490388988017</v>
      </c>
      <c r="E508" s="11">
        <f t="shared" si="235"/>
        <v>2671729</v>
      </c>
      <c r="F508" s="12">
        <f t="shared" si="236"/>
        <v>0.14556678569992526</v>
      </c>
      <c r="G508" s="13">
        <v>39</v>
      </c>
      <c r="H508" s="24">
        <v>275080</v>
      </c>
      <c r="I508" s="12">
        <f t="shared" si="239"/>
        <v>7.7639782231531271E-2</v>
      </c>
      <c r="J508" s="13">
        <v>4</v>
      </c>
      <c r="K508" s="11">
        <f>34410+8643+9080+27539</f>
        <v>79672</v>
      </c>
      <c r="L508" s="12">
        <f t="shared" ref="L508:L509" si="241">+K508/K$520</f>
        <v>4.8709300143122393E-2</v>
      </c>
      <c r="M508" s="13">
        <v>1</v>
      </c>
      <c r="N508" s="24">
        <f>16069+7877+6573</f>
        <v>30519</v>
      </c>
      <c r="O508" s="12">
        <f t="shared" si="240"/>
        <v>2.641374875478289E-2</v>
      </c>
      <c r="P508" s="13"/>
    </row>
    <row r="509" spans="1:16">
      <c r="A509" s="4">
        <f t="shared" si="234"/>
        <v>45</v>
      </c>
      <c r="B509" t="s">
        <v>254</v>
      </c>
      <c r="C509" s="5">
        <v>3044996</v>
      </c>
      <c r="D509" s="6">
        <f t="shared" si="238"/>
        <v>0.1233386774763067</v>
      </c>
      <c r="E509" s="11">
        <f t="shared" si="235"/>
        <v>2240454</v>
      </c>
      <c r="F509" s="12">
        <f t="shared" si="236"/>
        <v>0.12206914971111978</v>
      </c>
      <c r="G509" s="13">
        <v>33</v>
      </c>
      <c r="H509" s="11">
        <v>497617</v>
      </c>
      <c r="I509" s="12">
        <f t="shared" si="239"/>
        <v>0.14044959835214446</v>
      </c>
      <c r="J509" s="13">
        <v>8</v>
      </c>
      <c r="K509" s="11">
        <f>82618+10287+10171+75615</f>
        <v>178691</v>
      </c>
      <c r="L509" s="12">
        <f t="shared" si="241"/>
        <v>0.10924683140720308</v>
      </c>
      <c r="M509" s="13">
        <v>2</v>
      </c>
      <c r="N509" s="11">
        <f>66592+40081+21561</f>
        <v>128234</v>
      </c>
      <c r="O509" s="12">
        <f t="shared" si="240"/>
        <v>0.11098465407847009</v>
      </c>
      <c r="P509" s="13">
        <v>2</v>
      </c>
    </row>
    <row r="510" spans="1:16">
      <c r="A510" s="4">
        <f t="shared" si="234"/>
        <v>8</v>
      </c>
      <c r="B510" t="s">
        <v>227</v>
      </c>
      <c r="C510" s="5">
        <v>466020</v>
      </c>
      <c r="D510" s="6">
        <f t="shared" si="238"/>
        <v>1.8876310667570152E-2</v>
      </c>
      <c r="E510" s="11"/>
      <c r="F510" s="12"/>
      <c r="G510" s="13"/>
      <c r="H510" s="11">
        <v>466020</v>
      </c>
      <c r="I510" s="12">
        <f t="shared" si="239"/>
        <v>0.1315315228862084</v>
      </c>
      <c r="J510" s="13">
        <v>8</v>
      </c>
      <c r="K510" s="11"/>
      <c r="L510" s="12"/>
      <c r="M510" s="13"/>
      <c r="N510" s="24"/>
      <c r="O510" s="12"/>
      <c r="P510" s="13"/>
    </row>
    <row r="511" spans="1:16">
      <c r="A511" s="4">
        <f t="shared" si="234"/>
        <v>6</v>
      </c>
      <c r="B511" t="s">
        <v>255</v>
      </c>
      <c r="C511" s="5">
        <v>395429</v>
      </c>
      <c r="D511" s="6">
        <f t="shared" si="238"/>
        <v>1.6016996375620356E-2</v>
      </c>
      <c r="E511" s="11"/>
      <c r="F511" s="12"/>
      <c r="G511" s="13"/>
      <c r="H511" s="24">
        <v>395429</v>
      </c>
      <c r="I511" s="12">
        <f t="shared" si="239"/>
        <v>0.11160761032438628</v>
      </c>
      <c r="J511" s="13">
        <v>6</v>
      </c>
      <c r="K511" s="11"/>
      <c r="L511" s="12"/>
      <c r="M511" s="13"/>
      <c r="N511" s="24"/>
      <c r="O511" s="12"/>
      <c r="P511" s="13"/>
    </row>
    <row r="512" spans="1:16">
      <c r="A512" s="4">
        <f t="shared" si="234"/>
        <v>4</v>
      </c>
      <c r="B512" t="s">
        <v>218</v>
      </c>
      <c r="C512" s="5">
        <v>335129</v>
      </c>
      <c r="D512" s="6">
        <f t="shared" si="238"/>
        <v>1.3574522805270413E-2</v>
      </c>
      <c r="E512" s="11">
        <f t="shared" si="235"/>
        <v>58954</v>
      </c>
      <c r="F512" s="12">
        <f>+E512/E$520</f>
        <v>3.2120564189531925E-3</v>
      </c>
      <c r="G512" s="13"/>
      <c r="H512" s="11"/>
      <c r="I512" s="12"/>
      <c r="J512" s="13"/>
      <c r="K512" s="11"/>
      <c r="L512" s="12"/>
      <c r="M512" s="13"/>
      <c r="N512" s="24">
        <f>125867+117321+32987</f>
        <v>276175</v>
      </c>
      <c r="O512" s="12">
        <f t="shared" si="240"/>
        <v>0.23902542882637584</v>
      </c>
      <c r="P512" s="13">
        <v>4</v>
      </c>
    </row>
    <row r="513" spans="1:16">
      <c r="A513" s="4">
        <f t="shared" si="234"/>
        <v>4</v>
      </c>
      <c r="B513" t="s">
        <v>15</v>
      </c>
      <c r="C513" s="5">
        <v>277289</v>
      </c>
      <c r="D513" s="6">
        <f t="shared" si="238"/>
        <v>1.1231692435302905E-2</v>
      </c>
      <c r="E513" s="11"/>
      <c r="F513" s="12"/>
      <c r="G513" s="13"/>
      <c r="H513" s="11"/>
      <c r="I513" s="12"/>
      <c r="J513" s="13"/>
      <c r="K513" s="11"/>
      <c r="L513" s="12"/>
      <c r="M513" s="13"/>
      <c r="N513" s="11">
        <v>277289</v>
      </c>
      <c r="O513" s="12">
        <f t="shared" si="240"/>
        <v>0.23998957955585021</v>
      </c>
      <c r="P513" s="13">
        <v>4</v>
      </c>
    </row>
    <row r="514" spans="1:16">
      <c r="A514" s="4">
        <f t="shared" si="234"/>
        <v>0</v>
      </c>
      <c r="B514" t="s">
        <v>129</v>
      </c>
      <c r="C514" s="5">
        <v>169237</v>
      </c>
      <c r="D514" s="6">
        <f t="shared" si="238"/>
        <v>6.85500662728546E-3</v>
      </c>
      <c r="E514" s="11">
        <v>120709</v>
      </c>
      <c r="F514" s="12">
        <f>+E514/E$520</f>
        <v>6.5767228394243123E-3</v>
      </c>
      <c r="G514" s="13"/>
      <c r="H514" s="11">
        <v>36881</v>
      </c>
      <c r="I514" s="12">
        <f t="shared" si="239"/>
        <v>1.0409454734917495E-2</v>
      </c>
      <c r="J514" s="13"/>
      <c r="K514" s="11">
        <f>3096+645+700+3003</f>
        <v>7444</v>
      </c>
      <c r="L514" s="12">
        <f t="shared" ref="L514:L515" si="242">+K514/K$520</f>
        <v>4.5510597231825873E-3</v>
      </c>
      <c r="M514" s="13"/>
      <c r="N514" s="24">
        <f>2729+1568+773</f>
        <v>5070</v>
      </c>
      <c r="O514" s="12">
        <f t="shared" si="240"/>
        <v>4.3880109501212112E-3</v>
      </c>
      <c r="P514" s="13"/>
    </row>
    <row r="515" spans="1:16">
      <c r="A515" s="4">
        <f t="shared" si="234"/>
        <v>2</v>
      </c>
      <c r="B515" t="s">
        <v>58</v>
      </c>
      <c r="C515" s="5">
        <v>153995</v>
      </c>
      <c r="D515" s="6">
        <f t="shared" si="238"/>
        <v>6.2376238385744506E-3</v>
      </c>
      <c r="E515" s="11"/>
      <c r="F515" s="12"/>
      <c r="G515" s="13"/>
      <c r="H515" s="11"/>
      <c r="I515" s="12"/>
      <c r="J515" s="13"/>
      <c r="K515" s="11">
        <v>153995</v>
      </c>
      <c r="L515" s="12">
        <f t="shared" si="242"/>
        <v>9.4148366747918127E-2</v>
      </c>
      <c r="M515" s="13">
        <v>2</v>
      </c>
      <c r="N515" s="11"/>
      <c r="O515" s="12"/>
      <c r="P515" s="13"/>
    </row>
    <row r="516" spans="1:16">
      <c r="A516" s="4">
        <f t="shared" si="234"/>
        <v>0</v>
      </c>
      <c r="B516" t="s">
        <v>250</v>
      </c>
      <c r="C516" s="5">
        <v>116363</v>
      </c>
      <c r="D516" s="6">
        <f t="shared" si="238"/>
        <v>4.7133259049192428E-3</v>
      </c>
      <c r="E516" s="24">
        <f t="shared" ref="E516" si="243">+C516-H516-K516-N516</f>
        <v>116363</v>
      </c>
      <c r="F516" s="12">
        <f>+E516/E$520</f>
        <v>6.3399348827670784E-3</v>
      </c>
      <c r="G516" s="13"/>
      <c r="H516" s="11"/>
      <c r="I516" s="12"/>
      <c r="J516" s="13"/>
      <c r="K516" s="11"/>
      <c r="L516" s="12"/>
      <c r="M516" s="13"/>
      <c r="N516" s="11"/>
      <c r="O516" s="12"/>
      <c r="P516" s="13"/>
    </row>
    <row r="517" spans="1:16">
      <c r="A517" s="4">
        <f t="shared" si="234"/>
        <v>0</v>
      </c>
      <c r="B517" t="s">
        <v>249</v>
      </c>
      <c r="C517" s="5">
        <v>99644</v>
      </c>
      <c r="D517" s="6">
        <f t="shared" si="238"/>
        <v>4.0361166906127642E-3</v>
      </c>
      <c r="E517" s="11"/>
      <c r="F517" s="12"/>
      <c r="G517" s="13"/>
      <c r="H517" s="11">
        <v>99644</v>
      </c>
      <c r="I517" s="12">
        <f t="shared" si="239"/>
        <v>2.8123958341859465E-2</v>
      </c>
      <c r="J517" s="13"/>
      <c r="K517" s="11"/>
      <c r="L517" s="12"/>
      <c r="M517" s="13"/>
      <c r="N517" s="11"/>
      <c r="O517" s="12"/>
      <c r="P517" s="13"/>
    </row>
    <row r="518" spans="1:16">
      <c r="A518" s="4">
        <f t="shared" si="234"/>
        <v>0</v>
      </c>
      <c r="B518" t="s">
        <v>256</v>
      </c>
      <c r="C518" s="5">
        <v>52188</v>
      </c>
      <c r="D518" s="6">
        <f t="shared" si="238"/>
        <v>2.11389404128396E-3</v>
      </c>
      <c r="E518" s="11">
        <f>+C518-H518-K518-N518</f>
        <v>52188</v>
      </c>
      <c r="F518" s="12">
        <f>+E518/E$520</f>
        <v>2.8434169079677241E-3</v>
      </c>
      <c r="G518" s="31"/>
      <c r="H518" s="11"/>
      <c r="I518" s="12"/>
      <c r="J518" s="31"/>
      <c r="K518" s="11"/>
      <c r="L518" s="12"/>
      <c r="M518" s="31"/>
      <c r="N518" s="11"/>
      <c r="O518" s="12"/>
      <c r="P518" s="13"/>
    </row>
    <row r="519" spans="1:16">
      <c r="A519" s="4">
        <f t="shared" si="234"/>
        <v>0</v>
      </c>
      <c r="B519" t="s">
        <v>257</v>
      </c>
      <c r="C519" s="5">
        <v>46274</v>
      </c>
      <c r="D519" s="6">
        <f t="shared" si="238"/>
        <v>1.8743453067060238E-3</v>
      </c>
      <c r="E519" s="29">
        <f t="shared" ref="E519" si="244">+C519-H519-K519-N519</f>
        <v>34872</v>
      </c>
      <c r="F519" s="15">
        <f>+E519/E$520</f>
        <v>1.8999700010471846E-3</v>
      </c>
      <c r="G519" s="16"/>
      <c r="H519" s="14">
        <v>7279</v>
      </c>
      <c r="I519" s="15">
        <f t="shared" si="239"/>
        <v>2.0544567938901998E-3</v>
      </c>
      <c r="J519" s="16"/>
      <c r="K519" s="14">
        <f>1244+182+884</f>
        <v>2310</v>
      </c>
      <c r="L519" s="15">
        <f>+K519/K$520</f>
        <v>1.4122713541848168E-3</v>
      </c>
      <c r="M519" s="16"/>
      <c r="N519" s="14">
        <f>929+530+354</f>
        <v>1813</v>
      </c>
      <c r="O519" s="15">
        <f t="shared" si="240"/>
        <v>1.5691250202307212E-3</v>
      </c>
      <c r="P519" s="16"/>
    </row>
    <row r="520" spans="1:16">
      <c r="A520" s="2">
        <f>SUM(A506:A519)</f>
        <v>350</v>
      </c>
      <c r="C520" s="3">
        <v>24688087</v>
      </c>
      <c r="D520" s="6">
        <f>+C520/C$520</f>
        <v>1</v>
      </c>
      <c r="E520" s="21">
        <f t="shared" ref="E520" si="245">+C520-H520-K520-N520</f>
        <v>18353974</v>
      </c>
      <c r="G520" s="28">
        <f>SUM(G506:G519)</f>
        <v>259</v>
      </c>
      <c r="H520" s="3">
        <v>3543029</v>
      </c>
      <c r="J520" s="28">
        <f>SUM(J506:J519)</f>
        <v>55</v>
      </c>
      <c r="K520" s="3">
        <f>677702+198566+186271+573124</f>
        <v>1635663</v>
      </c>
      <c r="M520" s="28">
        <f>SUM(M506:M519)</f>
        <v>20</v>
      </c>
      <c r="N520" s="3">
        <f>169107+376621+609693</f>
        <v>1155421</v>
      </c>
      <c r="P520" s="28">
        <f>SUM(P506:P519)</f>
        <v>16</v>
      </c>
    </row>
    <row r="526" spans="1:16">
      <c r="B526">
        <v>6840870</v>
      </c>
      <c r="C526">
        <v>67000</v>
      </c>
      <c r="D526">
        <f>INT(B526)/C$526</f>
        <v>102.10253731343283</v>
      </c>
    </row>
    <row r="527" spans="1:16">
      <c r="B527">
        <v>5821599</v>
      </c>
      <c r="D527">
        <f t="shared" ref="D527:D529" si="246">INT(B527)/C$526</f>
        <v>86.889537313432839</v>
      </c>
    </row>
    <row r="528" spans="1:16">
      <c r="B528">
        <v>2671729</v>
      </c>
      <c r="D528">
        <f t="shared" si="246"/>
        <v>39.876552238805971</v>
      </c>
    </row>
    <row r="529" spans="2:4">
      <c r="B529">
        <v>2240454</v>
      </c>
      <c r="D529">
        <f t="shared" si="246"/>
        <v>33.439611940298505</v>
      </c>
    </row>
    <row r="531" spans="2:4">
      <c r="D531">
        <f>102+86+39+33</f>
        <v>260</v>
      </c>
    </row>
  </sheetData>
  <sortState ref="A293:P297">
    <sortCondition descending="1" ref="C293:C29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</dc:creator>
  <cp:lastModifiedBy>Carles</cp:lastModifiedBy>
  <dcterms:created xsi:type="dcterms:W3CDTF">2014-03-21T22:48:45Z</dcterms:created>
  <dcterms:modified xsi:type="dcterms:W3CDTF">2023-11-26T23:04:25Z</dcterms:modified>
</cp:coreProperties>
</file>